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РЕЙТИНГИ открытости\2024\2 кв\"/>
    </mc:Choice>
  </mc:AlternateContent>
  <bookViews>
    <workbookView xWindow="-105" yWindow="-105" windowWidth="19425" windowHeight="10425"/>
  </bookViews>
  <sheets>
    <sheet name="МБТ - исполнение" sheetId="22" r:id="rId1"/>
    <sheet name="Проверочная  таблица" sheetId="21" r:id="rId2"/>
    <sheet name="Прочая  субсидия_МР  и  ГО" sheetId="20" r:id="rId3"/>
    <sheet name="Прочая  субсидия_БП" sheetId="19" r:id="rId4"/>
    <sheet name="Субвенция  на  полномочия" sheetId="18" r:id="rId5"/>
    <sheet name="Район  и  поселения" sheetId="17" r:id="rId6"/>
    <sheet name="Федеральные  средства  по  МО" sheetId="16" r:id="rId7"/>
    <sheet name="Федеральные  средства" sheetId="15" r:id="rId8"/>
    <sheet name="МБТ  по  программам" sheetId="14" r:id="rId9"/>
    <sheet name="МБТ  по  видам  расходов" sheetId="13" r:id="rId10"/>
    <sheet name="Дотация" sheetId="12" r:id="rId11"/>
    <sheet name="Субсидия" sheetId="11" r:id="rId12"/>
    <sheet name="Субвенция" sheetId="10" r:id="rId13"/>
    <sheet name="Иные  МБТ" sheetId="9" r:id="rId14"/>
    <sheet name="субсидия  фед." sheetId="8" r:id="rId15"/>
    <sheet name="субсидия  ВР 522" sheetId="7" r:id="rId16"/>
    <sheet name="субсидия  ВР 523" sheetId="6" r:id="rId17"/>
    <sheet name="Федеральная  субсидия" sheetId="5" r:id="rId18"/>
    <sheet name="ВУС" sheetId="4" r:id="rId19"/>
    <sheet name="Бюджетирование" sheetId="3" r:id="rId20"/>
  </sheets>
  <externalReferences>
    <externalReference r:id="rId21"/>
    <externalReference r:id="rId22"/>
  </externalReferences>
  <definedNames>
    <definedName name="_xlnm.Print_Titles" localSheetId="19">Бюджетирование!$4:$4</definedName>
    <definedName name="_xlnm.Print_Titles" localSheetId="18">ВУС!$4:$4</definedName>
    <definedName name="_xlnm.Print_Titles" localSheetId="13">'Иные  МБТ'!$7:$7</definedName>
    <definedName name="_xlnm.Print_Titles" localSheetId="1">'Проверочная  таблица'!$A:$A</definedName>
    <definedName name="_xlnm.Print_Titles" localSheetId="3">'Прочая  субсидия_БП'!$A:$A</definedName>
    <definedName name="_xlnm.Print_Titles" localSheetId="2">'Прочая  субсидия_МР  и  ГО'!$A:$A</definedName>
    <definedName name="_xlnm.Print_Titles" localSheetId="5">'Район  и  поселения'!$A:$A</definedName>
    <definedName name="_xlnm.Print_Titles" localSheetId="12">Субвенция!$7:$7</definedName>
    <definedName name="_xlnm.Print_Titles" localSheetId="4">'Субвенция  на  полномочия'!$A:$A</definedName>
    <definedName name="_xlnm.Print_Titles" localSheetId="11">Субсидия!$7:$7</definedName>
    <definedName name="_xlnm.Print_Titles" localSheetId="15">'субсидия  ВР 522'!$5:$5</definedName>
    <definedName name="_xlnm.Print_Titles" localSheetId="16">'субсидия  ВР 523'!$5:$5</definedName>
    <definedName name="_xlnm.Print_Titles" localSheetId="14">'субсидия  фед.'!$5:$5</definedName>
    <definedName name="_xlnm.Print_Titles" localSheetId="17">'Федеральная  субсидия'!$A:$A</definedName>
    <definedName name="_xlnm.Print_Titles" localSheetId="7">'Федеральные  средства'!$6:$6</definedName>
    <definedName name="_xlnm.Print_Titles" localSheetId="6">'Федеральные  средства  по  МО'!$A:$A</definedName>
    <definedName name="_xlnm.Print_Area" localSheetId="18">ВУС!$A$1:$E$227</definedName>
    <definedName name="_xlnm.Print_Area" localSheetId="10">Дотация!$A$1:$E$22</definedName>
    <definedName name="_xlnm.Print_Area" localSheetId="13">'Иные  МБТ'!$A$1:$G$68</definedName>
    <definedName name="_xlnm.Print_Area" localSheetId="9">'МБТ  по  видам  расходов'!$A$1:$E$27</definedName>
    <definedName name="_xlnm.Print_Area" localSheetId="8">'МБТ  по  программам'!$A$1:$I$21</definedName>
    <definedName name="_xlnm.Print_Area" localSheetId="1">'Проверочная  таблица'!$A$1:$AAU$45</definedName>
    <definedName name="_xlnm.Print_Area" localSheetId="3">'Прочая  субсидия_БП'!$A$1:$BP$26</definedName>
    <definedName name="_xlnm.Print_Area" localSheetId="2">'Прочая  субсидия_МР  и  ГО'!$A$1:$BI$43</definedName>
    <definedName name="_xlnm.Print_Area" localSheetId="5">'Район  и  поселения'!$A$1:$BI$41</definedName>
    <definedName name="_xlnm.Print_Area" localSheetId="12">Субвенция!$A$1:$G$13</definedName>
    <definedName name="_xlnm.Print_Area" localSheetId="4">'Субвенция  на  полномочия'!$A$1:$AO$33</definedName>
    <definedName name="_xlnm.Print_Area" localSheetId="11">Субсидия!$A$1:$G$553</definedName>
    <definedName name="_xlnm.Print_Area" localSheetId="7">'Федеральные  средства'!$A$1:$C$75</definedName>
    <definedName name="_xlnm.Print_Area" localSheetId="6">'Федеральные  средства  по  МО'!$A$1:$DE$43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28" i="22" l="1"/>
  <c r="N28" i="22"/>
  <c r="L28" i="22"/>
  <c r="K28" i="22"/>
  <c r="I28" i="22"/>
  <c r="H28" i="22"/>
  <c r="F28" i="22"/>
  <c r="E28" i="22"/>
  <c r="C28" i="22"/>
  <c r="B28" i="22"/>
  <c r="P27" i="22"/>
  <c r="M27" i="22"/>
  <c r="J27" i="22"/>
  <c r="G27" i="22"/>
  <c r="D27" i="22"/>
  <c r="P26" i="22"/>
  <c r="M26" i="22"/>
  <c r="J26" i="22"/>
  <c r="G26" i="22"/>
  <c r="D26" i="22"/>
  <c r="O25" i="22"/>
  <c r="N25" i="22"/>
  <c r="L25" i="22"/>
  <c r="K25" i="22"/>
  <c r="I25" i="22"/>
  <c r="H25" i="22"/>
  <c r="F25" i="22"/>
  <c r="E25" i="22"/>
  <c r="C25" i="22"/>
  <c r="B25" i="22"/>
  <c r="O24" i="22"/>
  <c r="N24" i="22"/>
  <c r="L24" i="22"/>
  <c r="K24" i="22"/>
  <c r="I24" i="22"/>
  <c r="H24" i="22"/>
  <c r="F24" i="22"/>
  <c r="E24" i="22"/>
  <c r="C24" i="22"/>
  <c r="B24" i="22"/>
  <c r="P23" i="22"/>
  <c r="M23" i="22"/>
  <c r="J23" i="22"/>
  <c r="G23" i="22"/>
  <c r="D23" i="22"/>
  <c r="P22" i="22"/>
  <c r="M22" i="22"/>
  <c r="J22" i="22"/>
  <c r="G22" i="22"/>
  <c r="D22" i="22"/>
  <c r="P21" i="22"/>
  <c r="M21" i="22"/>
  <c r="J21" i="22"/>
  <c r="G21" i="22"/>
  <c r="D21" i="22"/>
  <c r="P20" i="22"/>
  <c r="M20" i="22"/>
  <c r="J20" i="22"/>
  <c r="G20" i="22"/>
  <c r="D20" i="22"/>
  <c r="P19" i="22"/>
  <c r="M19" i="22"/>
  <c r="J19" i="22"/>
  <c r="G19" i="22"/>
  <c r="D19" i="22"/>
  <c r="P18" i="22"/>
  <c r="M18" i="22"/>
  <c r="J18" i="22"/>
  <c r="G18" i="22"/>
  <c r="D18" i="22"/>
  <c r="P17" i="22"/>
  <c r="M17" i="22"/>
  <c r="J17" i="22"/>
  <c r="G17" i="22"/>
  <c r="D17" i="22"/>
  <c r="P16" i="22"/>
  <c r="M16" i="22"/>
  <c r="J16" i="22"/>
  <c r="G16" i="22"/>
  <c r="D16" i="22"/>
  <c r="P15" i="22"/>
  <c r="M15" i="22"/>
  <c r="J15" i="22"/>
  <c r="G15" i="22"/>
  <c r="D15" i="22"/>
  <c r="P14" i="22"/>
  <c r="M14" i="22"/>
  <c r="J14" i="22"/>
  <c r="G14" i="22"/>
  <c r="D14" i="22"/>
  <c r="P13" i="22"/>
  <c r="M13" i="22"/>
  <c r="J13" i="22"/>
  <c r="G13" i="22"/>
  <c r="D13" i="22"/>
  <c r="P12" i="22"/>
  <c r="M12" i="22"/>
  <c r="J12" i="22"/>
  <c r="G12" i="22"/>
  <c r="D12" i="22"/>
  <c r="P11" i="22"/>
  <c r="M11" i="22"/>
  <c r="J11" i="22"/>
  <c r="G11" i="22"/>
  <c r="D11" i="22"/>
  <c r="P10" i="22"/>
  <c r="M10" i="22"/>
  <c r="J10" i="22"/>
  <c r="G10" i="22"/>
  <c r="D10" i="22"/>
  <c r="P9" i="22"/>
  <c r="M9" i="22"/>
  <c r="J9" i="22"/>
  <c r="G9" i="22"/>
  <c r="D9" i="22"/>
  <c r="P8" i="22"/>
  <c r="M8" i="22"/>
  <c r="J8" i="22"/>
  <c r="G8" i="22"/>
  <c r="D8" i="22"/>
  <c r="P7" i="22"/>
  <c r="M7" i="22"/>
  <c r="J7" i="22"/>
  <c r="G7" i="22"/>
  <c r="D7" i="22"/>
  <c r="P6" i="22"/>
  <c r="M6" i="22"/>
  <c r="J6" i="22"/>
  <c r="G6" i="22"/>
  <c r="D6" i="22"/>
  <c r="P28" i="22" l="1"/>
  <c r="N30" i="22"/>
  <c r="P25" i="22"/>
  <c r="M28" i="22"/>
  <c r="M24" i="22"/>
  <c r="J28" i="22"/>
  <c r="G24" i="22"/>
  <c r="E30" i="22"/>
  <c r="G28" i="22"/>
  <c r="D28" i="22"/>
  <c r="O30" i="22"/>
  <c r="M25" i="22"/>
  <c r="K30" i="22"/>
  <c r="J24" i="22"/>
  <c r="H30" i="22"/>
  <c r="J25" i="22"/>
  <c r="G25" i="22"/>
  <c r="F30" i="22"/>
  <c r="D25" i="22"/>
  <c r="B30" i="22"/>
  <c r="C30" i="22"/>
  <c r="D24" i="22"/>
  <c r="P24" i="22"/>
  <c r="I30" i="22"/>
  <c r="L30" i="22"/>
  <c r="P30" i="22" l="1"/>
  <c r="M30" i="22"/>
  <c r="D30" i="22"/>
  <c r="J30" i="22"/>
  <c r="G30" i="22"/>
  <c r="SQ34" i="21" l="1"/>
  <c r="SP34" i="21"/>
  <c r="AW25" i="19" l="1"/>
  <c r="AW19" i="19"/>
  <c r="QE48" i="21"/>
  <c r="QD48" i="21"/>
  <c r="PG29" i="21"/>
  <c r="PG21" i="21"/>
  <c r="PG19" i="21"/>
  <c r="PG18" i="21"/>
  <c r="DI48" i="21"/>
  <c r="DH48" i="21"/>
  <c r="G3" i="3"/>
  <c r="F3" i="3"/>
  <c r="ZA28" i="21" l="1"/>
  <c r="ZA30" i="21"/>
  <c r="ZA23" i="21"/>
  <c r="ZA21" i="21"/>
  <c r="ZA17" i="21"/>
  <c r="WY46" i="21"/>
  <c r="D49" i="9"/>
  <c r="D29" i="9"/>
  <c r="WE39" i="21"/>
  <c r="ZW30" i="21" l="1"/>
  <c r="ZW28" i="21"/>
  <c r="ZW24" i="21"/>
  <c r="ZW22" i="21"/>
  <c r="ZW18" i="21"/>
  <c r="ZW17" i="21"/>
  <c r="D330" i="11" l="1"/>
  <c r="D533" i="11" l="1"/>
  <c r="D532" i="11"/>
  <c r="D271" i="11"/>
  <c r="I9" i="8"/>
  <c r="G9" i="8" s="1"/>
  <c r="H9" i="8"/>
  <c r="F9" i="8"/>
  <c r="C9" i="8"/>
  <c r="B9" i="8"/>
  <c r="A9" i="8"/>
  <c r="D318" i="11"/>
  <c r="D315" i="11"/>
  <c r="H326" i="11"/>
  <c r="G326" i="11"/>
  <c r="I326" i="11" s="1"/>
  <c r="E325" i="11"/>
  <c r="H324" i="11"/>
  <c r="D325" i="11"/>
  <c r="H323" i="11"/>
  <c r="G323" i="11"/>
  <c r="I323" i="11" s="1"/>
  <c r="D322" i="11"/>
  <c r="H321" i="11"/>
  <c r="E322" i="11"/>
  <c r="J321" i="11"/>
  <c r="G325" i="11" l="1"/>
  <c r="I325" i="11" s="1"/>
  <c r="G322" i="11"/>
  <c r="I322" i="11" s="1"/>
  <c r="F325" i="11"/>
  <c r="H325" i="11" s="1"/>
  <c r="G321" i="11"/>
  <c r="I321" i="11" s="1"/>
  <c r="G324" i="11"/>
  <c r="I324" i="11" s="1"/>
  <c r="F322" i="11"/>
  <c r="H322" i="11" s="1"/>
  <c r="D163" i="11" l="1"/>
  <c r="D184" i="11"/>
  <c r="D178" i="11"/>
  <c r="D82" i="11"/>
  <c r="E81" i="11"/>
  <c r="D81" i="11"/>
  <c r="D79" i="11"/>
  <c r="F41" i="9" l="1"/>
  <c r="E41" i="9"/>
  <c r="H5" i="3"/>
  <c r="H7" i="3"/>
  <c r="H8" i="3"/>
  <c r="H9" i="3"/>
  <c r="H6" i="3"/>
  <c r="F32" i="3"/>
  <c r="H32" i="3" s="1"/>
  <c r="F30" i="3"/>
  <c r="H30" i="3" s="1"/>
  <c r="H31" i="3"/>
  <c r="G32" i="3"/>
  <c r="F50" i="9" s="1"/>
  <c r="G30" i="3"/>
  <c r="G33" i="3" s="1"/>
  <c r="E32" i="3"/>
  <c r="E31" i="3"/>
  <c r="E30" i="3"/>
  <c r="C8" i="12"/>
  <c r="E23" i="9" l="1"/>
  <c r="F23" i="9"/>
  <c r="E50" i="9"/>
  <c r="M41" i="5"/>
  <c r="LA14" i="5" l="1"/>
  <c r="LB14" i="5" s="1"/>
  <c r="BQ15" i="16"/>
  <c r="BQ40" i="16" s="1"/>
  <c r="BP15" i="16"/>
  <c r="BP29" i="16" s="1"/>
  <c r="O17" i="16"/>
  <c r="O11" i="16"/>
  <c r="BQ33" i="16"/>
  <c r="BQ41" i="16" s="1"/>
  <c r="BP33" i="16"/>
  <c r="BP41" i="16" s="1"/>
  <c r="TK14" i="21"/>
  <c r="TJ14" i="21"/>
  <c r="TD14" i="21"/>
  <c r="TC14" i="21"/>
  <c r="QA42" i="21"/>
  <c r="QA41" i="21" s="1"/>
  <c r="QB42" i="21"/>
  <c r="QB41" i="21" s="1"/>
  <c r="QD42" i="21"/>
  <c r="QD41" i="21" s="1"/>
  <c r="QE42" i="21"/>
  <c r="QE41" i="21" s="1"/>
  <c r="QF42" i="21"/>
  <c r="QF41" i="21" s="1"/>
  <c r="QG42" i="21"/>
  <c r="QG41" i="21" s="1"/>
  <c r="QA43" i="21"/>
  <c r="QB43" i="21"/>
  <c r="QC43" i="21"/>
  <c r="QD43" i="21"/>
  <c r="QE43" i="21"/>
  <c r="QF43" i="21"/>
  <c r="QG43" i="21"/>
  <c r="QB35" i="21"/>
  <c r="QA35" i="21"/>
  <c r="QB31" i="21"/>
  <c r="QB38" i="21" s="1"/>
  <c r="QA31" i="21"/>
  <c r="QA38" i="21" s="1"/>
  <c r="QG35" i="21"/>
  <c r="QF35" i="21"/>
  <c r="QG31" i="21"/>
  <c r="QG38" i="21" s="1"/>
  <c r="QF31" i="21"/>
  <c r="QF38" i="21" s="1"/>
  <c r="QC14" i="21"/>
  <c r="QC42" i="21" s="1"/>
  <c r="QC15" i="21"/>
  <c r="QC16" i="21"/>
  <c r="QC17" i="21"/>
  <c r="QC18" i="21"/>
  <c r="QC19" i="21"/>
  <c r="QC20" i="21"/>
  <c r="QC21" i="21"/>
  <c r="QC22" i="21"/>
  <c r="QC23" i="21"/>
  <c r="QC24" i="21"/>
  <c r="QC25" i="21"/>
  <c r="QC26" i="21"/>
  <c r="QC27" i="21"/>
  <c r="QC28" i="21"/>
  <c r="QC29" i="21"/>
  <c r="QC30" i="21"/>
  <c r="QC13" i="21"/>
  <c r="BP40" i="16" l="1"/>
  <c r="BP39" i="16" s="1"/>
  <c r="BP36" i="16"/>
  <c r="BQ29" i="16"/>
  <c r="UW18" i="21"/>
  <c r="UV18" i="21"/>
  <c r="BQ39" i="16" l="1"/>
  <c r="BQ36" i="16"/>
  <c r="AW13" i="19"/>
  <c r="U28" i="18" l="1"/>
  <c r="YP48" i="21"/>
  <c r="AB35" i="21" l="1"/>
  <c r="Y34" i="21" l="1"/>
  <c r="Y33" i="21"/>
  <c r="Y28" i="21"/>
  <c r="Y29" i="21"/>
  <c r="Y30" i="21"/>
  <c r="Y27" i="21"/>
  <c r="Y24" i="21"/>
  <c r="Y25" i="21"/>
  <c r="Y26" i="21"/>
  <c r="Y23" i="21"/>
  <c r="Y21" i="21"/>
  <c r="Y22" i="21"/>
  <c r="Y20" i="21"/>
  <c r="Y18" i="21"/>
  <c r="Y19" i="21"/>
  <c r="Y17" i="21"/>
  <c r="Y16" i="21"/>
  <c r="Y15" i="21"/>
  <c r="Y14" i="21"/>
  <c r="Y13" i="21"/>
  <c r="X34" i="21"/>
  <c r="X33" i="21"/>
  <c r="X28" i="21"/>
  <c r="AB28" i="21" s="1"/>
  <c r="X29" i="21"/>
  <c r="AB29" i="21" s="1"/>
  <c r="X30" i="21"/>
  <c r="AB30" i="21" s="1"/>
  <c r="X27" i="21"/>
  <c r="AB27" i="21" s="1"/>
  <c r="X24" i="21"/>
  <c r="AB24" i="21" s="1"/>
  <c r="X25" i="21"/>
  <c r="AB25" i="21" s="1"/>
  <c r="X26" i="21"/>
  <c r="AB26" i="21" s="1"/>
  <c r="X23" i="21"/>
  <c r="AB23" i="21" s="1"/>
  <c r="X21" i="21"/>
  <c r="AB21" i="21" s="1"/>
  <c r="X22" i="21"/>
  <c r="AB22" i="21" s="1"/>
  <c r="X20" i="21"/>
  <c r="AB20" i="21" s="1"/>
  <c r="X18" i="21"/>
  <c r="AB18" i="21" s="1"/>
  <c r="X19" i="21"/>
  <c r="AB19" i="21" s="1"/>
  <c r="X17" i="21"/>
  <c r="AB17" i="21" s="1"/>
  <c r="X16" i="21"/>
  <c r="AB16" i="21" s="1"/>
  <c r="X15" i="21"/>
  <c r="AB15" i="21" s="1"/>
  <c r="X14" i="21"/>
  <c r="AB14" i="21" s="1"/>
  <c r="X13" i="21"/>
  <c r="AB13" i="21" s="1"/>
  <c r="W34" i="21"/>
  <c r="AA34" i="21" s="1"/>
  <c r="W33" i="21"/>
  <c r="W28" i="21"/>
  <c r="AA28" i="21" s="1"/>
  <c r="W29" i="21"/>
  <c r="AA29" i="21" s="1"/>
  <c r="W30" i="21"/>
  <c r="AA30" i="21" s="1"/>
  <c r="W27" i="21"/>
  <c r="AA27" i="21" s="1"/>
  <c r="W24" i="21"/>
  <c r="AA24" i="21" s="1"/>
  <c r="W25" i="21"/>
  <c r="AA25" i="21" s="1"/>
  <c r="W26" i="21"/>
  <c r="AA26" i="21" s="1"/>
  <c r="W23" i="21"/>
  <c r="AA23" i="21" s="1"/>
  <c r="W21" i="21"/>
  <c r="AA21" i="21" s="1"/>
  <c r="W22" i="21"/>
  <c r="AA22" i="21" s="1"/>
  <c r="W20" i="21"/>
  <c r="AA20" i="21" s="1"/>
  <c r="W18" i="21"/>
  <c r="AA18" i="21" s="1"/>
  <c r="W19" i="21"/>
  <c r="AA19" i="21" s="1"/>
  <c r="W17" i="21"/>
  <c r="AA17" i="21" s="1"/>
  <c r="W16" i="21"/>
  <c r="AA16" i="21" s="1"/>
  <c r="W15" i="21"/>
  <c r="AA15" i="21" s="1"/>
  <c r="W14" i="21"/>
  <c r="AA14" i="21" s="1"/>
  <c r="W13" i="21"/>
  <c r="AA13" i="21" s="1"/>
  <c r="AF28" i="21"/>
  <c r="AF29" i="21"/>
  <c r="AF30" i="21"/>
  <c r="AF27" i="21"/>
  <c r="AF24" i="21"/>
  <c r="AF25" i="21"/>
  <c r="AF26" i="21"/>
  <c r="AF23" i="21"/>
  <c r="AF21" i="21"/>
  <c r="AF22" i="21"/>
  <c r="AF20" i="21"/>
  <c r="AF18" i="21"/>
  <c r="AF19" i="21"/>
  <c r="AF17" i="21"/>
  <c r="AF16" i="21"/>
  <c r="AF15" i="21"/>
  <c r="AF14" i="21"/>
  <c r="AF13" i="21"/>
  <c r="AE28" i="21"/>
  <c r="AE29" i="21"/>
  <c r="AE30" i="21"/>
  <c r="AE27" i="21"/>
  <c r="AE24" i="21"/>
  <c r="AE25" i="21"/>
  <c r="AE26" i="21"/>
  <c r="AE23" i="21"/>
  <c r="AE21" i="21"/>
  <c r="AE22" i="21"/>
  <c r="AE20" i="21"/>
  <c r="AE18" i="21"/>
  <c r="AE19" i="21"/>
  <c r="AE17" i="21"/>
  <c r="AE16" i="21"/>
  <c r="AE15" i="21"/>
  <c r="AE14" i="21"/>
  <c r="AE13" i="21"/>
  <c r="AD34" i="21"/>
  <c r="AD33" i="21"/>
  <c r="AD35" i="21" s="1"/>
  <c r="AF35" i="21"/>
  <c r="AF43" i="21" s="1"/>
  <c r="AE35" i="21"/>
  <c r="AE43" i="21" s="1"/>
  <c r="AD29" i="21" l="1"/>
  <c r="AD24" i="21"/>
  <c r="V22" i="21"/>
  <c r="AD30" i="21"/>
  <c r="AD16" i="21"/>
  <c r="AD26" i="21"/>
  <c r="W35" i="21"/>
  <c r="W43" i="21" s="1"/>
  <c r="AA33" i="21"/>
  <c r="V21" i="21"/>
  <c r="V24" i="21"/>
  <c r="AD18" i="21"/>
  <c r="AD25" i="21"/>
  <c r="V29" i="21"/>
  <c r="V34" i="21"/>
  <c r="Y35" i="21"/>
  <c r="Y43" i="21" s="1"/>
  <c r="V28" i="21"/>
  <c r="V30" i="21"/>
  <c r="V26" i="21"/>
  <c r="V15" i="21"/>
  <c r="Y31" i="21"/>
  <c r="V17" i="21"/>
  <c r="V25" i="21"/>
  <c r="V20" i="21"/>
  <c r="V18" i="21"/>
  <c r="X35" i="21"/>
  <c r="X43" i="21" s="1"/>
  <c r="V23" i="21"/>
  <c r="V16" i="21"/>
  <c r="X31" i="21"/>
  <c r="V13" i="21"/>
  <c r="V33" i="21"/>
  <c r="V35" i="21" s="1"/>
  <c r="V27" i="21"/>
  <c r="V19" i="21"/>
  <c r="W42" i="21"/>
  <c r="W31" i="21"/>
  <c r="X42" i="21"/>
  <c r="Y42" i="21"/>
  <c r="V14" i="21"/>
  <c r="AD27" i="21"/>
  <c r="AD23" i="21"/>
  <c r="AD22" i="21"/>
  <c r="AD21" i="21"/>
  <c r="AD19" i="21"/>
  <c r="AD17" i="21"/>
  <c r="AD15" i="21"/>
  <c r="AD14" i="21"/>
  <c r="AF42" i="21"/>
  <c r="AF31" i="21"/>
  <c r="AD20" i="21"/>
  <c r="AD28" i="21"/>
  <c r="AE31" i="21"/>
  <c r="AE38" i="21" s="1"/>
  <c r="AE42" i="21"/>
  <c r="AD13" i="21"/>
  <c r="D28" i="9"/>
  <c r="AB31" i="21" l="1"/>
  <c r="AF41" i="21"/>
  <c r="W38" i="21"/>
  <c r="Y38" i="21"/>
  <c r="Y41" i="21"/>
  <c r="X38" i="21"/>
  <c r="X41" i="21"/>
  <c r="V31" i="21"/>
  <c r="W41" i="21"/>
  <c r="AD31" i="21"/>
  <c r="AD38" i="21" s="1"/>
  <c r="AF38" i="21"/>
  <c r="AE41" i="21"/>
  <c r="D187" i="11"/>
  <c r="D181" i="11"/>
  <c r="D95" i="11"/>
  <c r="V38" i="21" l="1"/>
  <c r="D68" i="9"/>
  <c r="H23" i="9"/>
  <c r="G23" i="9"/>
  <c r="I23" i="9" s="1"/>
  <c r="D50" i="9"/>
  <c r="D38" i="9" l="1"/>
  <c r="H41" i="9"/>
  <c r="G41" i="9"/>
  <c r="I41" i="9" s="1"/>
  <c r="C16" i="7" l="1"/>
  <c r="B16" i="7"/>
  <c r="A16" i="7"/>
  <c r="D18" i="7"/>
  <c r="E18" i="7"/>
  <c r="C15" i="7"/>
  <c r="F15" i="7" s="1"/>
  <c r="B15" i="7"/>
  <c r="A15" i="7"/>
  <c r="D192" i="11"/>
  <c r="E515" i="11"/>
  <c r="B19" i="6"/>
  <c r="A19" i="6"/>
  <c r="B14" i="6"/>
  <c r="A14" i="6"/>
  <c r="F16" i="7" l="1"/>
  <c r="OI28" i="21" l="1"/>
  <c r="OH28" i="21"/>
  <c r="PU14" i="21"/>
  <c r="PV14" i="21"/>
  <c r="PU15" i="21"/>
  <c r="PV15" i="21"/>
  <c r="PU16" i="21"/>
  <c r="PV16" i="21"/>
  <c r="PU17" i="21"/>
  <c r="PV17" i="21"/>
  <c r="PU18" i="21"/>
  <c r="PV18" i="21"/>
  <c r="PU19" i="21"/>
  <c r="PV19" i="21"/>
  <c r="PU20" i="21"/>
  <c r="PV20" i="21"/>
  <c r="PU21" i="21"/>
  <c r="PV21" i="21"/>
  <c r="PU22" i="21"/>
  <c r="PV22" i="21"/>
  <c r="PU23" i="21"/>
  <c r="PV23" i="21"/>
  <c r="PU24" i="21"/>
  <c r="PV24" i="21"/>
  <c r="PU25" i="21"/>
  <c r="PV25" i="21"/>
  <c r="PU26" i="21"/>
  <c r="PV26" i="21"/>
  <c r="PU27" i="21"/>
  <c r="PV27" i="21"/>
  <c r="PU28" i="21"/>
  <c r="PV28" i="21"/>
  <c r="PU29" i="21"/>
  <c r="PV29" i="21"/>
  <c r="PU30" i="21"/>
  <c r="PV30" i="21"/>
  <c r="PV13" i="21"/>
  <c r="PU13" i="21"/>
  <c r="IN14" i="21" l="1"/>
  <c r="IO14" i="21"/>
  <c r="IN15" i="21"/>
  <c r="IO15" i="21"/>
  <c r="IN16" i="21"/>
  <c r="IO16" i="21"/>
  <c r="IN17" i="21"/>
  <c r="IN31" i="21" s="1"/>
  <c r="IO17" i="21"/>
  <c r="IO31" i="21" s="1"/>
  <c r="IN18" i="21"/>
  <c r="IO18" i="21"/>
  <c r="IN19" i="21"/>
  <c r="IO19" i="21"/>
  <c r="IN20" i="21"/>
  <c r="IO20" i="21"/>
  <c r="IN21" i="21"/>
  <c r="IO21" i="21"/>
  <c r="IN22" i="21"/>
  <c r="IO22" i="21"/>
  <c r="IN23" i="21"/>
  <c r="IO23" i="21"/>
  <c r="IN24" i="21"/>
  <c r="IO24" i="21"/>
  <c r="IN25" i="21"/>
  <c r="IO25" i="21"/>
  <c r="IN26" i="21"/>
  <c r="IO26" i="21"/>
  <c r="IN27" i="21"/>
  <c r="IO27" i="21"/>
  <c r="IN28" i="21"/>
  <c r="IO28" i="21"/>
  <c r="IN29" i="21"/>
  <c r="IO29" i="21"/>
  <c r="IN30" i="21"/>
  <c r="IO30" i="21"/>
  <c r="IO13" i="21"/>
  <c r="IN13" i="21"/>
  <c r="D219" i="11" l="1"/>
  <c r="D174" i="11"/>
  <c r="D170" i="11"/>
  <c r="D155" i="11"/>
  <c r="D147" i="11"/>
  <c r="D125" i="11"/>
  <c r="AC37" i="5" l="1"/>
  <c r="AJ32" i="5"/>
  <c r="AI32" i="5"/>
  <c r="AF32" i="5"/>
  <c r="AE32" i="5"/>
  <c r="AJ28" i="5"/>
  <c r="AJ35" i="5" s="1"/>
  <c r="AI28" i="5"/>
  <c r="AI35" i="5" s="1"/>
  <c r="AF28" i="5"/>
  <c r="AF35" i="5" s="1"/>
  <c r="AE28" i="5"/>
  <c r="AE35" i="5" s="1"/>
  <c r="D543" i="11"/>
  <c r="E133" i="11"/>
  <c r="F133" i="11"/>
  <c r="D133" i="11"/>
  <c r="D146" i="11"/>
  <c r="C14" i="6" s="1"/>
  <c r="F14" i="6" s="1"/>
  <c r="I145" i="11"/>
  <c r="H145" i="11"/>
  <c r="I144" i="11"/>
  <c r="H144" i="11"/>
  <c r="K32" i="16"/>
  <c r="I32" i="16"/>
  <c r="AG31" i="5" s="1"/>
  <c r="AH31" i="5" s="1"/>
  <c r="K31" i="16"/>
  <c r="I31" i="16"/>
  <c r="AG30" i="5" s="1"/>
  <c r="AH30" i="5" s="1"/>
  <c r="I12" i="16"/>
  <c r="AG11" i="5" s="1"/>
  <c r="AH11" i="5" s="1"/>
  <c r="K12" i="16"/>
  <c r="I13" i="16"/>
  <c r="AG12" i="5" s="1"/>
  <c r="AH12" i="5" s="1"/>
  <c r="K13" i="16"/>
  <c r="I14" i="16"/>
  <c r="AG13" i="5" s="1"/>
  <c r="AH13" i="5" s="1"/>
  <c r="K14" i="16"/>
  <c r="I15" i="16"/>
  <c r="AG14" i="5" s="1"/>
  <c r="AH14" i="5" s="1"/>
  <c r="K15" i="16"/>
  <c r="I16" i="16"/>
  <c r="AG15" i="5" s="1"/>
  <c r="AH15" i="5" s="1"/>
  <c r="K16" i="16"/>
  <c r="I17" i="16"/>
  <c r="AG16" i="5" s="1"/>
  <c r="AH16" i="5" s="1"/>
  <c r="K17" i="16"/>
  <c r="I18" i="16"/>
  <c r="AG17" i="5" s="1"/>
  <c r="AH17" i="5" s="1"/>
  <c r="K18" i="16"/>
  <c r="I19" i="16"/>
  <c r="AG18" i="5" s="1"/>
  <c r="AH18" i="5" s="1"/>
  <c r="K19" i="16"/>
  <c r="I20" i="16"/>
  <c r="AG19" i="5" s="1"/>
  <c r="AH19" i="5" s="1"/>
  <c r="K20" i="16"/>
  <c r="I21" i="16"/>
  <c r="AG20" i="5" s="1"/>
  <c r="AH20" i="5" s="1"/>
  <c r="K21" i="16"/>
  <c r="I22" i="16"/>
  <c r="AG21" i="5" s="1"/>
  <c r="AH21" i="5" s="1"/>
  <c r="K22" i="16"/>
  <c r="I23" i="16"/>
  <c r="AG22" i="5" s="1"/>
  <c r="AH22" i="5" s="1"/>
  <c r="K23" i="16"/>
  <c r="I24" i="16"/>
  <c r="AG23" i="5" s="1"/>
  <c r="AH23" i="5" s="1"/>
  <c r="K24" i="16"/>
  <c r="I25" i="16"/>
  <c r="AG24" i="5" s="1"/>
  <c r="AH24" i="5" s="1"/>
  <c r="K25" i="16"/>
  <c r="I26" i="16"/>
  <c r="AG25" i="5" s="1"/>
  <c r="AH25" i="5" s="1"/>
  <c r="K26" i="16"/>
  <c r="I27" i="16"/>
  <c r="AG26" i="5" s="1"/>
  <c r="AH26" i="5" s="1"/>
  <c r="K27" i="16"/>
  <c r="I28" i="16"/>
  <c r="AG27" i="5" s="1"/>
  <c r="AH27" i="5" s="1"/>
  <c r="K28" i="16"/>
  <c r="K11" i="16"/>
  <c r="I11" i="16"/>
  <c r="AG10" i="5" s="1"/>
  <c r="AH10" i="5" s="1"/>
  <c r="CD34" i="21"/>
  <c r="CC34" i="21"/>
  <c r="CD33" i="21"/>
  <c r="CC33" i="21"/>
  <c r="CC17" i="21"/>
  <c r="CD17" i="21"/>
  <c r="CC18" i="21"/>
  <c r="CD18" i="21"/>
  <c r="CC19" i="21"/>
  <c r="CD19" i="21"/>
  <c r="CC14" i="21"/>
  <c r="CD14" i="21"/>
  <c r="CC20" i="21"/>
  <c r="CD20" i="21"/>
  <c r="CC21" i="21"/>
  <c r="CD21" i="21"/>
  <c r="CC22" i="21"/>
  <c r="CD22" i="21"/>
  <c r="CC15" i="21"/>
  <c r="CD15" i="21"/>
  <c r="CC23" i="21"/>
  <c r="CD23" i="21"/>
  <c r="CC24" i="21"/>
  <c r="CD24" i="21"/>
  <c r="CC25" i="21"/>
  <c r="CD25" i="21"/>
  <c r="CC26" i="21"/>
  <c r="CD26" i="21"/>
  <c r="CC16" i="21"/>
  <c r="CD16" i="21"/>
  <c r="CC27" i="21"/>
  <c r="CD27" i="21"/>
  <c r="CC28" i="21"/>
  <c r="CD28" i="21"/>
  <c r="CC29" i="21"/>
  <c r="CD29" i="21"/>
  <c r="CC30" i="21"/>
  <c r="CD30" i="21"/>
  <c r="CD13" i="21"/>
  <c r="CC13" i="21"/>
  <c r="CF42" i="21"/>
  <c r="CG42" i="21"/>
  <c r="CG35" i="21"/>
  <c r="CG43" i="21" s="1"/>
  <c r="CF35" i="21"/>
  <c r="CF43" i="21" s="1"/>
  <c r="CE34" i="21"/>
  <c r="CE33" i="21"/>
  <c r="CE35" i="21" s="1"/>
  <c r="CE43" i="21" s="1"/>
  <c r="CG31" i="21"/>
  <c r="CF31" i="21"/>
  <c r="CE30" i="21"/>
  <c r="CE29" i="21"/>
  <c r="CE28" i="21"/>
  <c r="CE27" i="21"/>
  <c r="CE16" i="21"/>
  <c r="CE26" i="21"/>
  <c r="CE25" i="21"/>
  <c r="CE24" i="21"/>
  <c r="CE23" i="21"/>
  <c r="CE15" i="21"/>
  <c r="CE22" i="21"/>
  <c r="CE21" i="21"/>
  <c r="CE20" i="21"/>
  <c r="CE14" i="21"/>
  <c r="CE19" i="21"/>
  <c r="CE18" i="21"/>
  <c r="CE17" i="21"/>
  <c r="CE13" i="21"/>
  <c r="CB18" i="21" l="1"/>
  <c r="CB27" i="21"/>
  <c r="CB21" i="21"/>
  <c r="CB24" i="21"/>
  <c r="I40" i="16"/>
  <c r="I33" i="16"/>
  <c r="I41" i="16" s="1"/>
  <c r="CB14" i="21"/>
  <c r="H31" i="16"/>
  <c r="AC30" i="5" s="1"/>
  <c r="AD30" i="5" s="1"/>
  <c r="H27" i="16"/>
  <c r="AC26" i="5" s="1"/>
  <c r="AD26" i="5" s="1"/>
  <c r="H23" i="16"/>
  <c r="AC22" i="5" s="1"/>
  <c r="AD22" i="5" s="1"/>
  <c r="H19" i="16"/>
  <c r="AC18" i="5" s="1"/>
  <c r="AD18" i="5" s="1"/>
  <c r="H15" i="16"/>
  <c r="AC14" i="5" s="1"/>
  <c r="AD14" i="5" s="1"/>
  <c r="J31" i="16"/>
  <c r="J22" i="16"/>
  <c r="J18" i="16"/>
  <c r="J14" i="16"/>
  <c r="H32" i="16"/>
  <c r="AC31" i="5" s="1"/>
  <c r="AD31" i="5" s="1"/>
  <c r="H26" i="16"/>
  <c r="AC25" i="5" s="1"/>
  <c r="AD25" i="5" s="1"/>
  <c r="H22" i="16"/>
  <c r="AC21" i="5" s="1"/>
  <c r="AD21" i="5" s="1"/>
  <c r="H18" i="16"/>
  <c r="AC17" i="5" s="1"/>
  <c r="AD17" i="5" s="1"/>
  <c r="H14" i="16"/>
  <c r="AC13" i="5" s="1"/>
  <c r="AD13" i="5" s="1"/>
  <c r="J32" i="16"/>
  <c r="H11" i="16"/>
  <c r="AC10" i="5" s="1"/>
  <c r="AD10" i="5" s="1"/>
  <c r="J25" i="16"/>
  <c r="J21" i="16"/>
  <c r="J17" i="16"/>
  <c r="J13" i="16"/>
  <c r="J11" i="16"/>
  <c r="H25" i="16"/>
  <c r="AC24" i="5" s="1"/>
  <c r="AD24" i="5" s="1"/>
  <c r="H21" i="16"/>
  <c r="AC20" i="5" s="1"/>
  <c r="AD20" i="5" s="1"/>
  <c r="H17" i="16"/>
  <c r="AC16" i="5" s="1"/>
  <c r="AD16" i="5" s="1"/>
  <c r="H13" i="16"/>
  <c r="AC12" i="5" s="1"/>
  <c r="AD12" i="5" s="1"/>
  <c r="J28" i="16"/>
  <c r="J24" i="16"/>
  <c r="J20" i="16"/>
  <c r="J16" i="16"/>
  <c r="J12" i="16"/>
  <c r="H28" i="16"/>
  <c r="AC27" i="5" s="1"/>
  <c r="AD27" i="5" s="1"/>
  <c r="H24" i="16"/>
  <c r="AC23" i="5" s="1"/>
  <c r="AD23" i="5" s="1"/>
  <c r="H20" i="16"/>
  <c r="AC19" i="5" s="1"/>
  <c r="AD19" i="5" s="1"/>
  <c r="H16" i="16"/>
  <c r="AC15" i="5" s="1"/>
  <c r="AD15" i="5" s="1"/>
  <c r="H12" i="16"/>
  <c r="AC11" i="5" s="1"/>
  <c r="AD11" i="5" s="1"/>
  <c r="CB25" i="21"/>
  <c r="CD35" i="21"/>
  <c r="CD43" i="21" s="1"/>
  <c r="CB34" i="21"/>
  <c r="CE31" i="21"/>
  <c r="CE38" i="21" s="1"/>
  <c r="CG41" i="21"/>
  <c r="CF41" i="21"/>
  <c r="CE42" i="21"/>
  <c r="CF38" i="21"/>
  <c r="CG38" i="21"/>
  <c r="CC35" i="21"/>
  <c r="CC43" i="21" s="1"/>
  <c r="CB19" i="21"/>
  <c r="CB28" i="21"/>
  <c r="CB26" i="21"/>
  <c r="CB15" i="21"/>
  <c r="CB22" i="21"/>
  <c r="CB29" i="21"/>
  <c r="J27" i="16"/>
  <c r="J23" i="16"/>
  <c r="J19" i="16"/>
  <c r="J15" i="16"/>
  <c r="CB30" i="21"/>
  <c r="CB16" i="21"/>
  <c r="CB23" i="21"/>
  <c r="CC42" i="21"/>
  <c r="J26" i="16"/>
  <c r="CB20" i="21"/>
  <c r="CB17" i="21"/>
  <c r="AH32" i="5"/>
  <c r="AG32" i="5"/>
  <c r="AH28" i="5"/>
  <c r="AG28" i="5"/>
  <c r="I29" i="16"/>
  <c r="CD31" i="21"/>
  <c r="CD42" i="21"/>
  <c r="CC31" i="21"/>
  <c r="CB33" i="21"/>
  <c r="CB13" i="21"/>
  <c r="CE41" i="21" l="1"/>
  <c r="AG35" i="5"/>
  <c r="AC32" i="5"/>
  <c r="H33" i="16"/>
  <c r="H41" i="16" s="1"/>
  <c r="AD32" i="5"/>
  <c r="CC38" i="21"/>
  <c r="B69" i="15" s="1"/>
  <c r="AD28" i="5"/>
  <c r="H40" i="16"/>
  <c r="AC28" i="5"/>
  <c r="CB35" i="21"/>
  <c r="CD38" i="21"/>
  <c r="E147" i="11" s="1"/>
  <c r="H29" i="16"/>
  <c r="H36" i="16" s="1"/>
  <c r="C70" i="15"/>
  <c r="F147" i="11"/>
  <c r="CG48" i="21"/>
  <c r="C69" i="15"/>
  <c r="CF48" i="21"/>
  <c r="F143" i="11"/>
  <c r="F146" i="11" s="1"/>
  <c r="I14" i="6" s="1"/>
  <c r="G14" i="6" s="1"/>
  <c r="CB31" i="21"/>
  <c r="AH35" i="5"/>
  <c r="AG36" i="5" s="1"/>
  <c r="I39" i="16"/>
  <c r="I36" i="16"/>
  <c r="CD41" i="21"/>
  <c r="CC41" i="21"/>
  <c r="AC35" i="5" l="1"/>
  <c r="E143" i="11"/>
  <c r="G143" i="11" s="1"/>
  <c r="CB38" i="21"/>
  <c r="AD35" i="5"/>
  <c r="H39" i="16"/>
  <c r="B70" i="15"/>
  <c r="E146" i="11"/>
  <c r="H143" i="11"/>
  <c r="EX11" i="5"/>
  <c r="EX12" i="5"/>
  <c r="EX13" i="5"/>
  <c r="EX14" i="5"/>
  <c r="EX15" i="5"/>
  <c r="EX16" i="5"/>
  <c r="EX17" i="5"/>
  <c r="EX18" i="5"/>
  <c r="EX19" i="5"/>
  <c r="EX20" i="5"/>
  <c r="EX21" i="5"/>
  <c r="EX22" i="5"/>
  <c r="EX23" i="5"/>
  <c r="EX24" i="5"/>
  <c r="EX25" i="5"/>
  <c r="EX26" i="5"/>
  <c r="EX27" i="5"/>
  <c r="JE35" i="21"/>
  <c r="JE43" i="21" s="1"/>
  <c r="JC35" i="21"/>
  <c r="JC43" i="21" s="1"/>
  <c r="JD35" i="21"/>
  <c r="JD43" i="21" s="1"/>
  <c r="EX10" i="5"/>
  <c r="AQ32" i="16"/>
  <c r="AQ31" i="16"/>
  <c r="AQ12" i="16"/>
  <c r="EW11" i="5" s="1"/>
  <c r="AQ13" i="16"/>
  <c r="EW12" i="5" s="1"/>
  <c r="AQ14" i="16"/>
  <c r="EW13" i="5" s="1"/>
  <c r="AQ15" i="16"/>
  <c r="EW14" i="5" s="1"/>
  <c r="AQ16" i="16"/>
  <c r="EW15" i="5" s="1"/>
  <c r="AQ17" i="16"/>
  <c r="EW16" i="5" s="1"/>
  <c r="AQ18" i="16"/>
  <c r="EW17" i="5" s="1"/>
  <c r="AQ19" i="16"/>
  <c r="EW18" i="5" s="1"/>
  <c r="AQ20" i="16"/>
  <c r="EW19" i="5" s="1"/>
  <c r="AQ21" i="16"/>
  <c r="EW20" i="5" s="1"/>
  <c r="AQ22" i="16"/>
  <c r="EW21" i="5" s="1"/>
  <c r="AQ23" i="16"/>
  <c r="EW22" i="5" s="1"/>
  <c r="AQ24" i="16"/>
  <c r="EW23" i="5" s="1"/>
  <c r="AQ25" i="16"/>
  <c r="EW24" i="5" s="1"/>
  <c r="AQ26" i="16"/>
  <c r="EW25" i="5" s="1"/>
  <c r="AQ27" i="16"/>
  <c r="EW26" i="5" s="1"/>
  <c r="AQ28" i="16"/>
  <c r="EW27" i="5" s="1"/>
  <c r="AQ11" i="16"/>
  <c r="IW17" i="21"/>
  <c r="IX17" i="21"/>
  <c r="IW18" i="21"/>
  <c r="IX18" i="21"/>
  <c r="IW19" i="21"/>
  <c r="IX19" i="21"/>
  <c r="IW14" i="21"/>
  <c r="IX14" i="21"/>
  <c r="IW20" i="21"/>
  <c r="IX20" i="21"/>
  <c r="IW21" i="21"/>
  <c r="IX21" i="21"/>
  <c r="IW22" i="21"/>
  <c r="IX22" i="21"/>
  <c r="IW15" i="21"/>
  <c r="IX15" i="21"/>
  <c r="IW23" i="21"/>
  <c r="IX23" i="21"/>
  <c r="IW24" i="21"/>
  <c r="IX24" i="21"/>
  <c r="IW25" i="21"/>
  <c r="IX25" i="21"/>
  <c r="IW26" i="21"/>
  <c r="IX26" i="21"/>
  <c r="IW16" i="21"/>
  <c r="IX16" i="21"/>
  <c r="IW27" i="21"/>
  <c r="IX27" i="21"/>
  <c r="IW28" i="21"/>
  <c r="IX28" i="21"/>
  <c r="IW29" i="21"/>
  <c r="IX29" i="21"/>
  <c r="IW30" i="21"/>
  <c r="IX30" i="21"/>
  <c r="IX13" i="21"/>
  <c r="IW13" i="21"/>
  <c r="JA42" i="21"/>
  <c r="IZ42" i="21"/>
  <c r="JA35" i="21"/>
  <c r="JA43" i="21" s="1"/>
  <c r="IZ35" i="21"/>
  <c r="IZ43" i="21" s="1"/>
  <c r="IY34" i="21"/>
  <c r="IV34" i="21"/>
  <c r="IY33" i="21"/>
  <c r="IY35" i="21" s="1"/>
  <c r="IY43" i="21" s="1"/>
  <c r="IX35" i="21"/>
  <c r="IX43" i="21" s="1"/>
  <c r="IW35" i="21"/>
  <c r="IW43" i="21" s="1"/>
  <c r="JA31" i="21"/>
  <c r="IZ31" i="21"/>
  <c r="IZ38" i="21" s="1"/>
  <c r="IY30" i="21"/>
  <c r="JE30" i="21" s="1"/>
  <c r="IY29" i="21"/>
  <c r="JE29" i="21" s="1"/>
  <c r="IY28" i="21"/>
  <c r="IY27" i="21"/>
  <c r="IY16" i="21"/>
  <c r="IY26" i="21"/>
  <c r="JE26" i="21" s="1"/>
  <c r="IY25" i="21"/>
  <c r="IY24" i="21"/>
  <c r="JE24" i="21" s="1"/>
  <c r="EZ20" i="5" s="1"/>
  <c r="IY23" i="21"/>
  <c r="JE23" i="21" s="1"/>
  <c r="IY15" i="21"/>
  <c r="JE15" i="21" s="1"/>
  <c r="IY22" i="21"/>
  <c r="JE22" i="21" s="1"/>
  <c r="EZ17" i="5" s="1"/>
  <c r="IY21" i="21"/>
  <c r="JE21" i="21" s="1"/>
  <c r="EZ16" i="5" s="1"/>
  <c r="IY20" i="21"/>
  <c r="JE20" i="21" s="1"/>
  <c r="IY14" i="21"/>
  <c r="JE14" i="21" s="1"/>
  <c r="EZ14" i="5" s="1"/>
  <c r="IY19" i="21"/>
  <c r="JE19" i="21" s="1"/>
  <c r="EZ13" i="5" s="1"/>
  <c r="IY18" i="21"/>
  <c r="JE18" i="21" s="1"/>
  <c r="EZ12" i="5" s="1"/>
  <c r="IY17" i="21"/>
  <c r="JE17" i="21" s="1"/>
  <c r="IY13" i="21"/>
  <c r="JE13" i="21" s="1"/>
  <c r="AC36" i="5" l="1"/>
  <c r="IV28" i="21"/>
  <c r="JD28" i="21" s="1"/>
  <c r="EV25" i="5" s="1"/>
  <c r="IV25" i="21"/>
  <c r="JD25" i="21" s="1"/>
  <c r="EV21" i="5" s="1"/>
  <c r="IV19" i="21"/>
  <c r="JD19" i="21" s="1"/>
  <c r="EV13" i="5" s="1"/>
  <c r="IV30" i="21"/>
  <c r="JD30" i="21" s="1"/>
  <c r="IV20" i="21"/>
  <c r="JD20" i="21" s="1"/>
  <c r="EV15" i="5" s="1"/>
  <c r="H146" i="11"/>
  <c r="H14" i="6"/>
  <c r="IV22" i="21"/>
  <c r="JD22" i="21" s="1"/>
  <c r="EV17" i="5" s="1"/>
  <c r="JC15" i="21"/>
  <c r="EY18" i="5" s="1"/>
  <c r="EZ18" i="5"/>
  <c r="JC17" i="21"/>
  <c r="EY11" i="5" s="1"/>
  <c r="EZ11" i="5"/>
  <c r="JC30" i="21"/>
  <c r="EY27" i="5" s="1"/>
  <c r="EZ27" i="5"/>
  <c r="JC23" i="21"/>
  <c r="EY19" i="5" s="1"/>
  <c r="EZ19" i="5"/>
  <c r="JC26" i="21"/>
  <c r="EY22" i="5" s="1"/>
  <c r="EZ22" i="5"/>
  <c r="JC29" i="21"/>
  <c r="EY26" i="5" s="1"/>
  <c r="EZ26" i="5"/>
  <c r="JC20" i="21"/>
  <c r="EY15" i="5" s="1"/>
  <c r="EZ15" i="5"/>
  <c r="EZ10" i="5"/>
  <c r="JC24" i="21"/>
  <c r="EY20" i="5" s="1"/>
  <c r="JC22" i="21"/>
  <c r="EY17" i="5" s="1"/>
  <c r="JE28" i="21"/>
  <c r="EZ25" i="5" s="1"/>
  <c r="JC21" i="21"/>
  <c r="EY16" i="5" s="1"/>
  <c r="JE27" i="21"/>
  <c r="EZ24" i="5" s="1"/>
  <c r="JC13" i="21"/>
  <c r="JC14" i="21"/>
  <c r="EY14" i="5" s="1"/>
  <c r="JE16" i="21"/>
  <c r="EZ23" i="5" s="1"/>
  <c r="JC19" i="21"/>
  <c r="EY13" i="5" s="1"/>
  <c r="JC18" i="21"/>
  <c r="EY12" i="5" s="1"/>
  <c r="JE25" i="21"/>
  <c r="EZ21" i="5" s="1"/>
  <c r="IV21" i="21"/>
  <c r="JD21" i="21" s="1"/>
  <c r="EV16" i="5" s="1"/>
  <c r="IV24" i="21"/>
  <c r="JD24" i="21" s="1"/>
  <c r="EV20" i="5" s="1"/>
  <c r="G146" i="11"/>
  <c r="I146" i="11" s="1"/>
  <c r="I143" i="11"/>
  <c r="IV18" i="21"/>
  <c r="JD18" i="21" s="1"/>
  <c r="EV12" i="5" s="1"/>
  <c r="IV27" i="21"/>
  <c r="JD27" i="21" s="1"/>
  <c r="EV24" i="5" s="1"/>
  <c r="IV23" i="21"/>
  <c r="JD23" i="21" s="1"/>
  <c r="EV19" i="5" s="1"/>
  <c r="IV16" i="21"/>
  <c r="IW42" i="21"/>
  <c r="IV17" i="21"/>
  <c r="JB35" i="21"/>
  <c r="JB43" i="21" s="1"/>
  <c r="IV29" i="21"/>
  <c r="IV26" i="21"/>
  <c r="IV15" i="21"/>
  <c r="IV14" i="21"/>
  <c r="JA38" i="21"/>
  <c r="IY42" i="21"/>
  <c r="IX42" i="21"/>
  <c r="IV13" i="21"/>
  <c r="IV33" i="21"/>
  <c r="IV35" i="21" s="1"/>
  <c r="IV43" i="21" s="1"/>
  <c r="IZ41" i="21"/>
  <c r="JA41" i="21"/>
  <c r="IW31" i="21"/>
  <c r="IX31" i="21"/>
  <c r="IY31" i="21"/>
  <c r="JB30" i="21" l="1"/>
  <c r="EU27" i="5" s="1"/>
  <c r="JB24" i="21"/>
  <c r="EU20" i="5" s="1"/>
  <c r="JB19" i="21"/>
  <c r="EU13" i="5" s="1"/>
  <c r="JB21" i="21"/>
  <c r="EU16" i="5" s="1"/>
  <c r="JB18" i="21"/>
  <c r="EU12" i="5" s="1"/>
  <c r="JC28" i="21"/>
  <c r="EY25" i="5" s="1"/>
  <c r="JC16" i="21"/>
  <c r="EY23" i="5" s="1"/>
  <c r="JE31" i="21"/>
  <c r="JE38" i="21" s="1"/>
  <c r="EY10" i="5"/>
  <c r="JC42" i="21"/>
  <c r="JE42" i="21"/>
  <c r="JC25" i="21"/>
  <c r="EY21" i="5" s="1"/>
  <c r="JC27" i="21"/>
  <c r="EY24" i="5" s="1"/>
  <c r="JB27" i="21"/>
  <c r="EU24" i="5" s="1"/>
  <c r="JB25" i="21"/>
  <c r="EU21" i="5" s="1"/>
  <c r="JD17" i="21"/>
  <c r="EV11" i="5" s="1"/>
  <c r="JD15" i="21"/>
  <c r="EV18" i="5" s="1"/>
  <c r="JB28" i="21"/>
  <c r="EU25" i="5" s="1"/>
  <c r="IV42" i="21"/>
  <c r="JD13" i="21"/>
  <c r="JB13" i="21" s="1"/>
  <c r="JD26" i="21"/>
  <c r="EV22" i="5" s="1"/>
  <c r="JB22" i="21"/>
  <c r="EU17" i="5" s="1"/>
  <c r="JD16" i="21"/>
  <c r="EV23" i="5" s="1"/>
  <c r="JD14" i="21"/>
  <c r="EV14" i="5" s="1"/>
  <c r="JD29" i="21"/>
  <c r="EV26" i="5" s="1"/>
  <c r="JB20" i="21"/>
  <c r="EU15" i="5" s="1"/>
  <c r="JB23" i="21"/>
  <c r="EU19" i="5" s="1"/>
  <c r="IV31" i="21"/>
  <c r="IY38" i="21"/>
  <c r="AR62" i="17" s="1"/>
  <c r="IY41" i="21"/>
  <c r="IX41" i="21"/>
  <c r="IX38" i="21"/>
  <c r="IW41" i="21"/>
  <c r="IW38" i="21"/>
  <c r="JE41" i="21" l="1"/>
  <c r="JB15" i="21"/>
  <c r="EU18" i="5" s="1"/>
  <c r="JC31" i="21"/>
  <c r="JC38" i="21" s="1"/>
  <c r="JB29" i="21"/>
  <c r="EU26" i="5" s="1"/>
  <c r="IV41" i="21"/>
  <c r="EU10" i="5"/>
  <c r="IV38" i="21"/>
  <c r="N62" i="17" s="1"/>
  <c r="JD42" i="21"/>
  <c r="EV10" i="5"/>
  <c r="JD31" i="21"/>
  <c r="JD38" i="21" s="1"/>
  <c r="JB16" i="21"/>
  <c r="EU23" i="5" s="1"/>
  <c r="JB14" i="21"/>
  <c r="EU14" i="5" s="1"/>
  <c r="JB26" i="21"/>
  <c r="EU22" i="5" s="1"/>
  <c r="JB17" i="21"/>
  <c r="EU11" i="5" s="1"/>
  <c r="K29" i="5"/>
  <c r="L29" i="5"/>
  <c r="K33" i="5"/>
  <c r="L33" i="5"/>
  <c r="K34" i="5"/>
  <c r="L34" i="5"/>
  <c r="JC41" i="21" l="1"/>
  <c r="JD41" i="21"/>
  <c r="JB42" i="21"/>
  <c r="JB31" i="21"/>
  <c r="JB38" i="21" s="1"/>
  <c r="D12" i="9"/>
  <c r="D22" i="9"/>
  <c r="JB41" i="21" l="1"/>
  <c r="KL11" i="5"/>
  <c r="KN11" i="5"/>
  <c r="KL12" i="5"/>
  <c r="KN12" i="5"/>
  <c r="KL13" i="5"/>
  <c r="KN13" i="5"/>
  <c r="KL14" i="5"/>
  <c r="KN14" i="5"/>
  <c r="KL15" i="5"/>
  <c r="KN15" i="5"/>
  <c r="KL16" i="5"/>
  <c r="KN16" i="5"/>
  <c r="KL17" i="5"/>
  <c r="KN17" i="5"/>
  <c r="KL18" i="5"/>
  <c r="KN18" i="5"/>
  <c r="KL19" i="5"/>
  <c r="KN19" i="5"/>
  <c r="KL20" i="5"/>
  <c r="KN20" i="5"/>
  <c r="KL21" i="5"/>
  <c r="KN21" i="5"/>
  <c r="KL22" i="5"/>
  <c r="KN22" i="5"/>
  <c r="KL23" i="5"/>
  <c r="KN23" i="5"/>
  <c r="KL24" i="5"/>
  <c r="KN24" i="5"/>
  <c r="KL25" i="5"/>
  <c r="KN25" i="5"/>
  <c r="KL26" i="5"/>
  <c r="KN26" i="5"/>
  <c r="KL27" i="5"/>
  <c r="KN27" i="5"/>
  <c r="KN10" i="5"/>
  <c r="BM31" i="17" l="1"/>
  <c r="BN31" i="17"/>
  <c r="BM32" i="17"/>
  <c r="BN32" i="17"/>
  <c r="BM33" i="17"/>
  <c r="BN33" i="17"/>
  <c r="D76" i="11" l="1"/>
  <c r="D73" i="11"/>
  <c r="EZ46" i="21" l="1"/>
  <c r="EZ42" i="21"/>
  <c r="FA42" i="21"/>
  <c r="FA35" i="21"/>
  <c r="FA43" i="21" s="1"/>
  <c r="EZ35" i="21"/>
  <c r="EZ43" i="21" s="1"/>
  <c r="FA31" i="21"/>
  <c r="FA41" i="21" s="1"/>
  <c r="EZ31" i="21"/>
  <c r="EZ41" i="21" s="1"/>
  <c r="FA38" i="21" l="1"/>
  <c r="FA48" i="21" s="1"/>
  <c r="EZ38" i="21"/>
  <c r="EZ48" i="21" s="1"/>
  <c r="U31" i="18" l="1"/>
  <c r="AI32" i="16" l="1"/>
  <c r="AI31" i="16"/>
  <c r="AI12" i="16"/>
  <c r="AI13" i="16"/>
  <c r="AI14" i="16"/>
  <c r="AI15" i="16"/>
  <c r="AI16" i="16"/>
  <c r="AI17" i="16"/>
  <c r="AI18" i="16"/>
  <c r="AI19" i="16"/>
  <c r="AI20" i="16"/>
  <c r="AI21" i="16"/>
  <c r="AI22" i="16"/>
  <c r="AI23" i="16"/>
  <c r="AI24" i="16"/>
  <c r="AI25" i="16"/>
  <c r="AI26" i="16"/>
  <c r="AI27" i="16"/>
  <c r="AI28" i="16"/>
  <c r="AI11" i="16"/>
  <c r="GN34" i="21"/>
  <c r="GM34" i="21"/>
  <c r="GN33" i="21"/>
  <c r="GM33" i="21"/>
  <c r="GM17" i="21"/>
  <c r="GN17" i="21"/>
  <c r="GM18" i="21"/>
  <c r="GN18" i="21"/>
  <c r="GM19" i="21"/>
  <c r="GN19" i="21"/>
  <c r="GM14" i="21"/>
  <c r="GN14" i="21"/>
  <c r="GM20" i="21"/>
  <c r="GN20" i="21"/>
  <c r="GM21" i="21"/>
  <c r="GN21" i="21"/>
  <c r="GM22" i="21"/>
  <c r="GN22" i="21"/>
  <c r="GM15" i="21"/>
  <c r="GN15" i="21"/>
  <c r="GM23" i="21"/>
  <c r="GN23" i="21"/>
  <c r="GM24" i="21"/>
  <c r="GN24" i="21"/>
  <c r="GM25" i="21"/>
  <c r="GN25" i="21"/>
  <c r="GM26" i="21"/>
  <c r="GN26" i="21"/>
  <c r="GM16" i="21"/>
  <c r="GN16" i="21"/>
  <c r="GM27" i="21"/>
  <c r="GN27" i="21"/>
  <c r="GM28" i="21"/>
  <c r="GN28" i="21"/>
  <c r="GM29" i="21"/>
  <c r="GN29" i="21"/>
  <c r="GM30" i="21"/>
  <c r="GN30" i="21"/>
  <c r="GN13" i="21"/>
  <c r="GM13" i="21"/>
  <c r="GP42" i="21"/>
  <c r="GQ42" i="21"/>
  <c r="GQ35" i="21"/>
  <c r="GQ43" i="21" s="1"/>
  <c r="GP35" i="21"/>
  <c r="GP43" i="21" s="1"/>
  <c r="GO34" i="21"/>
  <c r="GU34" i="21" s="1"/>
  <c r="GS34" i="21" s="1"/>
  <c r="GO33" i="21"/>
  <c r="GO35" i="21" s="1"/>
  <c r="GO43" i="21" s="1"/>
  <c r="GQ31" i="21"/>
  <c r="GQ38" i="21" s="1"/>
  <c r="GP31" i="21"/>
  <c r="GP38" i="21" s="1"/>
  <c r="GO30" i="21"/>
  <c r="GU30" i="21" s="1"/>
  <c r="GS30" i="21" s="1"/>
  <c r="GO29" i="21"/>
  <c r="GU29" i="21" s="1"/>
  <c r="GS29" i="21" s="1"/>
  <c r="GO28" i="21"/>
  <c r="GO27" i="21"/>
  <c r="GU27" i="21" s="1"/>
  <c r="GS27" i="21" s="1"/>
  <c r="GO16" i="21"/>
  <c r="GO26" i="21"/>
  <c r="GU26" i="21" s="1"/>
  <c r="GS26" i="21" s="1"/>
  <c r="GO25" i="21"/>
  <c r="GU25" i="21" s="1"/>
  <c r="GO24" i="21"/>
  <c r="GU24" i="21" s="1"/>
  <c r="GS24" i="21" s="1"/>
  <c r="GO23" i="21"/>
  <c r="GO15" i="21"/>
  <c r="GU15" i="21" s="1"/>
  <c r="GS15" i="21" s="1"/>
  <c r="GO22" i="21"/>
  <c r="GO21" i="21"/>
  <c r="GU21" i="21" s="1"/>
  <c r="GS21" i="21" s="1"/>
  <c r="GO20" i="21"/>
  <c r="GO14" i="21"/>
  <c r="GU14" i="21" s="1"/>
  <c r="GS14" i="21" s="1"/>
  <c r="GO19" i="21"/>
  <c r="GO18" i="21"/>
  <c r="GU18" i="21" s="1"/>
  <c r="GO17" i="21"/>
  <c r="GU17" i="21" s="1"/>
  <c r="GS17" i="21" s="1"/>
  <c r="GO13" i="21"/>
  <c r="GO42" i="21" l="1"/>
  <c r="GS25" i="21"/>
  <c r="GU20" i="21"/>
  <c r="GS20" i="21" s="1"/>
  <c r="GQ41" i="21"/>
  <c r="GU28" i="21"/>
  <c r="GS28" i="21" s="1"/>
  <c r="GU33" i="21"/>
  <c r="GS33" i="21" s="1"/>
  <c r="GS35" i="21" s="1"/>
  <c r="GS43" i="21" s="1"/>
  <c r="GP41" i="21"/>
  <c r="GU23" i="21"/>
  <c r="GS23" i="21" s="1"/>
  <c r="GU19" i="21"/>
  <c r="GS19" i="21" s="1"/>
  <c r="GU16" i="21"/>
  <c r="GS16" i="21" s="1"/>
  <c r="GL21" i="21"/>
  <c r="GT21" i="21" s="1"/>
  <c r="GR21" i="21" s="1"/>
  <c r="GO31" i="21"/>
  <c r="GO38" i="21" s="1"/>
  <c r="AR61" i="17" s="1"/>
  <c r="GU13" i="21"/>
  <c r="GU22" i="21"/>
  <c r="GS22" i="21" s="1"/>
  <c r="GL23" i="21"/>
  <c r="GT23" i="21" s="1"/>
  <c r="GL30" i="21"/>
  <c r="GT30" i="21" s="1"/>
  <c r="GR30" i="21" s="1"/>
  <c r="GL16" i="21"/>
  <c r="GT16" i="21" s="1"/>
  <c r="GR16" i="21" s="1"/>
  <c r="GL20" i="21"/>
  <c r="GT20" i="21" s="1"/>
  <c r="GR20" i="21" s="1"/>
  <c r="GL17" i="21"/>
  <c r="GT17" i="21" s="1"/>
  <c r="GR17" i="21" s="1"/>
  <c r="GL25" i="21"/>
  <c r="GT25" i="21" s="1"/>
  <c r="GR25" i="21" s="1"/>
  <c r="GL34" i="21"/>
  <c r="GT34" i="21" s="1"/>
  <c r="GR34" i="21" s="1"/>
  <c r="GL19" i="21"/>
  <c r="GT19" i="21" s="1"/>
  <c r="GR19" i="21" s="1"/>
  <c r="GL22" i="21"/>
  <c r="GT22" i="21" s="1"/>
  <c r="GR22" i="21" s="1"/>
  <c r="GL28" i="21"/>
  <c r="GT28" i="21" s="1"/>
  <c r="GR28" i="21" s="1"/>
  <c r="GM35" i="21"/>
  <c r="GM43" i="21" s="1"/>
  <c r="GL15" i="21"/>
  <c r="GT15" i="21" s="1"/>
  <c r="GR15" i="21" s="1"/>
  <c r="GL14" i="21"/>
  <c r="GT14" i="21" s="1"/>
  <c r="GR14" i="21" s="1"/>
  <c r="GL27" i="21"/>
  <c r="GT27" i="21" s="1"/>
  <c r="GR27" i="21" s="1"/>
  <c r="GL24" i="21"/>
  <c r="GT24" i="21" s="1"/>
  <c r="GR24" i="21" s="1"/>
  <c r="GL18" i="21"/>
  <c r="GT18" i="21" s="1"/>
  <c r="GL29" i="21"/>
  <c r="GT29" i="21" s="1"/>
  <c r="GR29" i="21" s="1"/>
  <c r="GN35" i="21"/>
  <c r="GN43" i="21" s="1"/>
  <c r="GM42" i="21"/>
  <c r="GN42" i="21"/>
  <c r="GN31" i="21"/>
  <c r="GU35" i="21"/>
  <c r="GU43" i="21" s="1"/>
  <c r="GS18" i="21"/>
  <c r="GL26" i="21"/>
  <c r="GM31" i="21"/>
  <c r="GL33" i="21"/>
  <c r="GL13" i="21"/>
  <c r="GR23" i="21" l="1"/>
  <c r="GO41" i="21"/>
  <c r="GS13" i="21"/>
  <c r="GU42" i="21"/>
  <c r="GU31" i="21"/>
  <c r="GR18" i="21"/>
  <c r="GN38" i="21"/>
  <c r="GM38" i="21"/>
  <c r="GL35" i="21"/>
  <c r="GL43" i="21" s="1"/>
  <c r="GT33" i="21"/>
  <c r="GT35" i="21" s="1"/>
  <c r="GT43" i="21" s="1"/>
  <c r="GT26" i="21"/>
  <c r="GR26" i="21" s="1"/>
  <c r="GN41" i="21"/>
  <c r="GL31" i="21"/>
  <c r="GT13" i="21"/>
  <c r="GL42" i="21"/>
  <c r="GM41" i="21"/>
  <c r="GU38" i="21" l="1"/>
  <c r="GU41" i="21"/>
  <c r="GS42" i="21"/>
  <c r="GS31" i="21"/>
  <c r="GL38" i="21"/>
  <c r="N61" i="17" s="1"/>
  <c r="GR33" i="21"/>
  <c r="GR35" i="21" s="1"/>
  <c r="GR43" i="21" s="1"/>
  <c r="GL41" i="21"/>
  <c r="GR13" i="21"/>
  <c r="GT42" i="21"/>
  <c r="GT31" i="21"/>
  <c r="GT38" i="21" s="1"/>
  <c r="GS38" i="21" l="1"/>
  <c r="GS41" i="21"/>
  <c r="GT41" i="21"/>
  <c r="GR42" i="21"/>
  <c r="GR31" i="21"/>
  <c r="GR38" i="21" s="1"/>
  <c r="GR41" i="21" l="1"/>
  <c r="X29" i="20" l="1"/>
  <c r="X28" i="20"/>
  <c r="X12" i="20"/>
  <c r="X13" i="20"/>
  <c r="X14" i="20"/>
  <c r="X9" i="20"/>
  <c r="X15" i="20"/>
  <c r="X16" i="20"/>
  <c r="X17" i="20"/>
  <c r="X10" i="20"/>
  <c r="X18" i="20"/>
  <c r="X19" i="20"/>
  <c r="X20" i="20"/>
  <c r="X21" i="20"/>
  <c r="X11" i="20"/>
  <c r="X22" i="20"/>
  <c r="X23" i="20"/>
  <c r="X24" i="20"/>
  <c r="X25" i="20"/>
  <c r="X8" i="20"/>
  <c r="Y37" i="20"/>
  <c r="Y30" i="20"/>
  <c r="Y38" i="20" s="1"/>
  <c r="Y26" i="20"/>
  <c r="D169" i="11"/>
  <c r="C19" i="6" s="1"/>
  <c r="F19" i="6" s="1"/>
  <c r="I168" i="11"/>
  <c r="H168" i="11"/>
  <c r="I167" i="11"/>
  <c r="H167" i="11"/>
  <c r="Y33" i="20" l="1"/>
  <c r="Y43" i="20" s="1"/>
  <c r="Y45" i="20" s="1"/>
  <c r="X30" i="20"/>
  <c r="X38" i="20" s="1"/>
  <c r="X26" i="20"/>
  <c r="X37" i="20"/>
  <c r="Y36" i="20"/>
  <c r="F166" i="11" l="1"/>
  <c r="F169" i="11" s="1"/>
  <c r="I19" i="6" s="1"/>
  <c r="G19" i="6" s="1"/>
  <c r="X33" i="20"/>
  <c r="X43" i="20" s="1"/>
  <c r="X36" i="20"/>
  <c r="E166" i="11" l="1"/>
  <c r="H166" i="11" s="1"/>
  <c r="G166" i="11" l="1"/>
  <c r="G169" i="11" s="1"/>
  <c r="E169" i="11"/>
  <c r="H19" i="6" s="1"/>
  <c r="D47" i="9"/>
  <c r="I166" i="11" l="1"/>
  <c r="DE48" i="21"/>
  <c r="CI48" i="21"/>
  <c r="WX46" i="21"/>
  <c r="WP46" i="21"/>
  <c r="WP48" i="21" s="1"/>
  <c r="TJ46" i="21"/>
  <c r="TH46" i="21"/>
  <c r="TF46" i="21"/>
  <c r="SP46" i="21"/>
  <c r="RJ46" i="21"/>
  <c r="RD46" i="21"/>
  <c r="QD46" i="21"/>
  <c r="OW46" i="21"/>
  <c r="OO46" i="21"/>
  <c r="NP46" i="21"/>
  <c r="NM46" i="21"/>
  <c r="NK46" i="21"/>
  <c r="MB46" i="21"/>
  <c r="KX46" i="21"/>
  <c r="KV46" i="21"/>
  <c r="JP46" i="21"/>
  <c r="JJ46" i="21"/>
  <c r="IT46" i="21"/>
  <c r="HV46" i="21"/>
  <c r="HP46" i="21"/>
  <c r="HA46" i="21"/>
  <c r="GJ46" i="21"/>
  <c r="GD46" i="21"/>
  <c r="FF46" i="21"/>
  <c r="ET46" i="21"/>
  <c r="EF46" i="21"/>
  <c r="DH46" i="21"/>
  <c r="DF46" i="21"/>
  <c r="DD46" i="21"/>
  <c r="DD48" i="21" s="1"/>
  <c r="AAA43" i="21"/>
  <c r="ZU43" i="21"/>
  <c r="AAU42" i="21"/>
  <c r="AAT42" i="21"/>
  <c r="AAQ42" i="21"/>
  <c r="AAP42" i="21"/>
  <c r="AAO42" i="21"/>
  <c r="AAN42" i="21"/>
  <c r="AAM42" i="21"/>
  <c r="AAL42" i="21"/>
  <c r="AAI42" i="21"/>
  <c r="AAH42" i="21"/>
  <c r="AAG42" i="21"/>
  <c r="AAF42" i="21"/>
  <c r="AAC42" i="21"/>
  <c r="AAB42" i="21"/>
  <c r="AAA42" i="21"/>
  <c r="ZY42" i="21"/>
  <c r="ZU42" i="21"/>
  <c r="ZE42" i="21"/>
  <c r="ZD42" i="21"/>
  <c r="ZC42" i="21"/>
  <c r="ZA42" i="21"/>
  <c r="YR42" i="21"/>
  <c r="YQ42" i="21"/>
  <c r="YP42" i="21"/>
  <c r="YO42" i="21"/>
  <c r="YM42" i="21"/>
  <c r="YL42" i="21"/>
  <c r="YK42" i="21"/>
  <c r="YJ42" i="21"/>
  <c r="XS42" i="21"/>
  <c r="XO42" i="21"/>
  <c r="XM42" i="21"/>
  <c r="XK42" i="21"/>
  <c r="XJ42" i="21"/>
  <c r="XE42" i="21"/>
  <c r="XD42" i="21"/>
  <c r="WY42" i="21"/>
  <c r="WX42" i="21"/>
  <c r="WQ42" i="21"/>
  <c r="WP42" i="21"/>
  <c r="WK42" i="21"/>
  <c r="WJ42" i="21"/>
  <c r="WE42" i="21"/>
  <c r="WC42" i="21"/>
  <c r="WA42" i="21"/>
  <c r="VY42" i="21"/>
  <c r="VW42" i="21"/>
  <c r="VS42" i="21"/>
  <c r="VA42" i="21"/>
  <c r="UZ42" i="21"/>
  <c r="UY42" i="21"/>
  <c r="UX42" i="21"/>
  <c r="UW42" i="21"/>
  <c r="UV42" i="21"/>
  <c r="TY42" i="21"/>
  <c r="TX42" i="21"/>
  <c r="TW42" i="21"/>
  <c r="TV42" i="21"/>
  <c r="TU42" i="21"/>
  <c r="TT42" i="21"/>
  <c r="TK42" i="21"/>
  <c r="TJ42" i="21"/>
  <c r="TI42" i="21"/>
  <c r="TH42" i="21"/>
  <c r="TG42" i="21"/>
  <c r="TF42" i="21"/>
  <c r="SW42" i="21"/>
  <c r="SV42" i="21"/>
  <c r="SQ42" i="21"/>
  <c r="SP42" i="21"/>
  <c r="SO42" i="21"/>
  <c r="SI42" i="21"/>
  <c r="SH42" i="21"/>
  <c r="SC42" i="21"/>
  <c r="SB42" i="21"/>
  <c r="RQ42" i="21"/>
  <c r="RP42" i="21"/>
  <c r="RK42" i="21"/>
  <c r="RJ42" i="21"/>
  <c r="RE42" i="21"/>
  <c r="RD42" i="21"/>
  <c r="QY42" i="21"/>
  <c r="QX42" i="21"/>
  <c r="QM42" i="21"/>
  <c r="QL42" i="21"/>
  <c r="PW42" i="21"/>
  <c r="PV42" i="21"/>
  <c r="PU42" i="21"/>
  <c r="PG42" i="21"/>
  <c r="PF42" i="21"/>
  <c r="PE42" i="21"/>
  <c r="OY42" i="21"/>
  <c r="OX42" i="21"/>
  <c r="OW42" i="21"/>
  <c r="OQ42" i="21"/>
  <c r="OP42" i="21"/>
  <c r="OO42" i="21"/>
  <c r="OI42" i="21"/>
  <c r="OH42" i="21"/>
  <c r="NW42" i="21"/>
  <c r="NV42" i="21"/>
  <c r="NO42" i="21"/>
  <c r="NN42" i="21"/>
  <c r="NM42" i="21"/>
  <c r="NL42" i="21"/>
  <c r="NK42" i="21"/>
  <c r="NA42" i="21"/>
  <c r="MZ42" i="21"/>
  <c r="MY42" i="21"/>
  <c r="MK42" i="21"/>
  <c r="MJ42" i="21"/>
  <c r="MI42" i="21"/>
  <c r="MC42" i="21"/>
  <c r="MB42" i="21"/>
  <c r="MA42" i="21"/>
  <c r="LU42" i="21"/>
  <c r="LT42" i="21"/>
  <c r="LI42" i="21"/>
  <c r="LH42" i="21"/>
  <c r="LG42" i="21"/>
  <c r="LF42" i="21"/>
  <c r="LD42" i="21"/>
  <c r="LC42" i="21"/>
  <c r="KY42" i="21"/>
  <c r="KX42" i="21"/>
  <c r="KW42" i="21"/>
  <c r="KV42" i="21"/>
  <c r="KO42" i="21"/>
  <c r="KN42" i="21"/>
  <c r="KC42" i="21"/>
  <c r="KB42" i="21"/>
  <c r="JW42" i="21"/>
  <c r="JV42" i="21"/>
  <c r="JQ42" i="21"/>
  <c r="JP42" i="21"/>
  <c r="JK42" i="21"/>
  <c r="JJ42" i="21"/>
  <c r="IU42" i="21"/>
  <c r="IT42" i="21"/>
  <c r="IO42" i="21"/>
  <c r="IN42" i="21"/>
  <c r="IC42" i="21"/>
  <c r="IB42" i="21"/>
  <c r="HW42" i="21"/>
  <c r="HV42" i="21"/>
  <c r="HT42" i="21"/>
  <c r="HS42" i="21"/>
  <c r="HQ42" i="21"/>
  <c r="HP42" i="21"/>
  <c r="HG42" i="21"/>
  <c r="HC42" i="21"/>
  <c r="HB42" i="21"/>
  <c r="HA42" i="21"/>
  <c r="GK42" i="21"/>
  <c r="GJ42" i="21"/>
  <c r="GE42" i="21"/>
  <c r="GD42" i="21"/>
  <c r="FY42" i="21"/>
  <c r="FX42" i="21"/>
  <c r="FM42" i="21"/>
  <c r="FL42" i="21"/>
  <c r="FG42" i="21"/>
  <c r="FF42" i="21"/>
  <c r="EU42" i="21"/>
  <c r="ET42" i="21"/>
  <c r="ES42" i="21"/>
  <c r="EM42" i="21"/>
  <c r="EL42" i="21"/>
  <c r="EG42" i="21"/>
  <c r="EF42" i="21"/>
  <c r="EA42" i="21"/>
  <c r="DZ42" i="21"/>
  <c r="DY42" i="21"/>
  <c r="DO42" i="21"/>
  <c r="DN42" i="21"/>
  <c r="DI42" i="21"/>
  <c r="DH42" i="21"/>
  <c r="DG42" i="21"/>
  <c r="DF42" i="21"/>
  <c r="DE42" i="21"/>
  <c r="DD42" i="21"/>
  <c r="CU42" i="21"/>
  <c r="CT42" i="21"/>
  <c r="CO42" i="21"/>
  <c r="CK42" i="21"/>
  <c r="CI42" i="21"/>
  <c r="CA42" i="21"/>
  <c r="BW42" i="21"/>
  <c r="BU42" i="21"/>
  <c r="BO42" i="21"/>
  <c r="BK42" i="21"/>
  <c r="BG42" i="21"/>
  <c r="AY42" i="21"/>
  <c r="AU42" i="21"/>
  <c r="AT42" i="21"/>
  <c r="AM42" i="21"/>
  <c r="AI42" i="21"/>
  <c r="AH42" i="21"/>
  <c r="AC42" i="21"/>
  <c r="AB42" i="21"/>
  <c r="AA42" i="21"/>
  <c r="U42" i="21"/>
  <c r="Q42" i="21"/>
  <c r="O42" i="21"/>
  <c r="O78" i="17" s="1"/>
  <c r="M42" i="21"/>
  <c r="I42" i="21"/>
  <c r="G42" i="21"/>
  <c r="AAW37" i="21"/>
  <c r="AAV37" i="21"/>
  <c r="AAW36" i="21"/>
  <c r="AAV36" i="21"/>
  <c r="AAU35" i="21"/>
  <c r="AAU43" i="21" s="1"/>
  <c r="AAT35" i="21"/>
  <c r="AAT43" i="21" s="1"/>
  <c r="AAS35" i="21"/>
  <c r="AAS43" i="21" s="1"/>
  <c r="AAR35" i="21"/>
  <c r="AAR43" i="21" s="1"/>
  <c r="AAQ35" i="21"/>
  <c r="AAQ43" i="21" s="1"/>
  <c r="AAP35" i="21"/>
  <c r="AAP43" i="21" s="1"/>
  <c r="AAO35" i="21"/>
  <c r="AAO43" i="21" s="1"/>
  <c r="AAN35" i="21"/>
  <c r="AAN43" i="21" s="1"/>
  <c r="AAM35" i="21"/>
  <c r="AAM43" i="21" s="1"/>
  <c r="AAL35" i="21"/>
  <c r="AAL43" i="21" s="1"/>
  <c r="AAK35" i="21"/>
  <c r="AAK43" i="21" s="1"/>
  <c r="AAJ35" i="21"/>
  <c r="AAJ43" i="21" s="1"/>
  <c r="AAI35" i="21"/>
  <c r="AAI43" i="21" s="1"/>
  <c r="AAH35" i="21"/>
  <c r="AAH43" i="21" s="1"/>
  <c r="AAG35" i="21"/>
  <c r="AAG43" i="21" s="1"/>
  <c r="AAF35" i="21"/>
  <c r="AAF43" i="21" s="1"/>
  <c r="AAC35" i="21"/>
  <c r="AAC43" i="21" s="1"/>
  <c r="AAB35" i="21"/>
  <c r="AAB43" i="21" s="1"/>
  <c r="ZZ35" i="21"/>
  <c r="ZZ43" i="21" s="1"/>
  <c r="ZY35" i="21"/>
  <c r="ZY43" i="21" s="1"/>
  <c r="ZW35" i="21"/>
  <c r="ZW43" i="21" s="1"/>
  <c r="ZV35" i="21"/>
  <c r="ZV43" i="21" s="1"/>
  <c r="ZT35" i="21"/>
  <c r="ZT43" i="21" s="1"/>
  <c r="ZS35" i="21"/>
  <c r="ZS43" i="21" s="1"/>
  <c r="ZE35" i="21"/>
  <c r="ZE43" i="21" s="1"/>
  <c r="ZD35" i="21"/>
  <c r="ZD43" i="21" s="1"/>
  <c r="ZC35" i="21"/>
  <c r="ZC43" i="21" s="1"/>
  <c r="ZB35" i="21"/>
  <c r="ZB43" i="21" s="1"/>
  <c r="ZA35" i="21"/>
  <c r="ZA43" i="21" s="1"/>
  <c r="YY35" i="21"/>
  <c r="YY43" i="21" s="1"/>
  <c r="YX35" i="21"/>
  <c r="YX43" i="21" s="1"/>
  <c r="YW35" i="21"/>
  <c r="YW43" i="21" s="1"/>
  <c r="YV35" i="21"/>
  <c r="YV43" i="21" s="1"/>
  <c r="YU35" i="21"/>
  <c r="YU43" i="21" s="1"/>
  <c r="YR35" i="21"/>
  <c r="YR43" i="21" s="1"/>
  <c r="YQ35" i="21"/>
  <c r="YQ43" i="21" s="1"/>
  <c r="YP35" i="21"/>
  <c r="YP43" i="21" s="1"/>
  <c r="YO35" i="21"/>
  <c r="YO43" i="21" s="1"/>
  <c r="YN35" i="21"/>
  <c r="YN43" i="21" s="1"/>
  <c r="YM35" i="21"/>
  <c r="YM43" i="21" s="1"/>
  <c r="YL35" i="21"/>
  <c r="YL43" i="21" s="1"/>
  <c r="YK35" i="21"/>
  <c r="YK43" i="21" s="1"/>
  <c r="YJ35" i="21"/>
  <c r="YJ43" i="21" s="1"/>
  <c r="XW35" i="21"/>
  <c r="XW43" i="21" s="1"/>
  <c r="XV35" i="21"/>
  <c r="XV43" i="21" s="1"/>
  <c r="XU35" i="21"/>
  <c r="XU43" i="21" s="1"/>
  <c r="XT35" i="21"/>
  <c r="XT43" i="21" s="1"/>
  <c r="XS35" i="21"/>
  <c r="XS43" i="21" s="1"/>
  <c r="XQ35" i="21"/>
  <c r="XQ43" i="21" s="1"/>
  <c r="XO35" i="21"/>
  <c r="XO43" i="21" s="1"/>
  <c r="XK35" i="21"/>
  <c r="XK43" i="21" s="1"/>
  <c r="XJ35" i="21"/>
  <c r="XJ43" i="21" s="1"/>
  <c r="XE35" i="21"/>
  <c r="XE43" i="21" s="1"/>
  <c r="XD35" i="21"/>
  <c r="XD43" i="21" s="1"/>
  <c r="WY35" i="21"/>
  <c r="WY43" i="21" s="1"/>
  <c r="WX35" i="21"/>
  <c r="WX43" i="21" s="1"/>
  <c r="WQ35" i="21"/>
  <c r="WQ43" i="21" s="1"/>
  <c r="WP35" i="21"/>
  <c r="WP43" i="21" s="1"/>
  <c r="WK35" i="21"/>
  <c r="WK43" i="21" s="1"/>
  <c r="WJ35" i="21"/>
  <c r="WJ43" i="21" s="1"/>
  <c r="WE35" i="21"/>
  <c r="WE43" i="21" s="1"/>
  <c r="WC35" i="21"/>
  <c r="WC43" i="21" s="1"/>
  <c r="WA35" i="21"/>
  <c r="WA43" i="21" s="1"/>
  <c r="VY35" i="21"/>
  <c r="VY43" i="21" s="1"/>
  <c r="VW35" i="21"/>
  <c r="VW43" i="21" s="1"/>
  <c r="VV35" i="21"/>
  <c r="VV43" i="21" s="1"/>
  <c r="VU35" i="21"/>
  <c r="VU43" i="21" s="1"/>
  <c r="VT35" i="21"/>
  <c r="VT43" i="21" s="1"/>
  <c r="VS35" i="21"/>
  <c r="VS43" i="21" s="1"/>
  <c r="VI35" i="21"/>
  <c r="VI43" i="21" s="1"/>
  <c r="VH35" i="21"/>
  <c r="VH43" i="21" s="1"/>
  <c r="VG35" i="21"/>
  <c r="VG43" i="21" s="1"/>
  <c r="VF35" i="21"/>
  <c r="VF43" i="21" s="1"/>
  <c r="VE35" i="21"/>
  <c r="VE43" i="21" s="1"/>
  <c r="VD35" i="21"/>
  <c r="VD43" i="21" s="1"/>
  <c r="VA35" i="21"/>
  <c r="VA43" i="21" s="1"/>
  <c r="UZ35" i="21"/>
  <c r="UZ43" i="21" s="1"/>
  <c r="UY35" i="21"/>
  <c r="UY43" i="21" s="1"/>
  <c r="UX35" i="21"/>
  <c r="UX43" i="21" s="1"/>
  <c r="UW35" i="21"/>
  <c r="UW43" i="21" s="1"/>
  <c r="UV35" i="21"/>
  <c r="UV43" i="21" s="1"/>
  <c r="UU35" i="21"/>
  <c r="UU43" i="21" s="1"/>
  <c r="UT35" i="21"/>
  <c r="UT43" i="21" s="1"/>
  <c r="US35" i="21"/>
  <c r="US43" i="21" s="1"/>
  <c r="UR35" i="21"/>
  <c r="UR43" i="21" s="1"/>
  <c r="UQ35" i="21"/>
  <c r="UQ43" i="21" s="1"/>
  <c r="UP35" i="21"/>
  <c r="UP43" i="21" s="1"/>
  <c r="UO35" i="21"/>
  <c r="UO43" i="21" s="1"/>
  <c r="UN35" i="21"/>
  <c r="UN43" i="21" s="1"/>
  <c r="UM35" i="21"/>
  <c r="UM43" i="21" s="1"/>
  <c r="UL35" i="21"/>
  <c r="UL43" i="21" s="1"/>
  <c r="UK35" i="21"/>
  <c r="UK43" i="21" s="1"/>
  <c r="UJ35" i="21"/>
  <c r="UJ43" i="21" s="1"/>
  <c r="UI35" i="21"/>
  <c r="UI43" i="21" s="1"/>
  <c r="UH35" i="21"/>
  <c r="UH43" i="21" s="1"/>
  <c r="UG35" i="21"/>
  <c r="UG43" i="21" s="1"/>
  <c r="UF35" i="21"/>
  <c r="UF43" i="21" s="1"/>
  <c r="UE35" i="21"/>
  <c r="UE43" i="21" s="1"/>
  <c r="UD35" i="21"/>
  <c r="UD43" i="21" s="1"/>
  <c r="UC35" i="21"/>
  <c r="UC43" i="21" s="1"/>
  <c r="UB35" i="21"/>
  <c r="UB43" i="21" s="1"/>
  <c r="UA35" i="21"/>
  <c r="UA43" i="21" s="1"/>
  <c r="TZ35" i="21"/>
  <c r="TZ43" i="21" s="1"/>
  <c r="TY35" i="21"/>
  <c r="TY43" i="21" s="1"/>
  <c r="TX35" i="21"/>
  <c r="TX43" i="21" s="1"/>
  <c r="TW35" i="21"/>
  <c r="TW43" i="21" s="1"/>
  <c r="TV35" i="21"/>
  <c r="TV43" i="21" s="1"/>
  <c r="TU35" i="21"/>
  <c r="TU43" i="21" s="1"/>
  <c r="TT35" i="21"/>
  <c r="TT43" i="21" s="1"/>
  <c r="TS35" i="21"/>
  <c r="TS43" i="21" s="1"/>
  <c r="TR35" i="21"/>
  <c r="TR43" i="21" s="1"/>
  <c r="TQ35" i="21"/>
  <c r="TQ43" i="21" s="1"/>
  <c r="TP35" i="21"/>
  <c r="TP43" i="21" s="1"/>
  <c r="TO35" i="21"/>
  <c r="TO43" i="21" s="1"/>
  <c r="TN35" i="21"/>
  <c r="TN43" i="21" s="1"/>
  <c r="TM35" i="21"/>
  <c r="TM43" i="21" s="1"/>
  <c r="TL35" i="21"/>
  <c r="TL43" i="21" s="1"/>
  <c r="TK35" i="21"/>
  <c r="TK43" i="21" s="1"/>
  <c r="TJ35" i="21"/>
  <c r="TJ43" i="21" s="1"/>
  <c r="TI35" i="21"/>
  <c r="TI43" i="21" s="1"/>
  <c r="TH35" i="21"/>
  <c r="TH43" i="21" s="1"/>
  <c r="TG35" i="21"/>
  <c r="TG43" i="21" s="1"/>
  <c r="TF35" i="21"/>
  <c r="TF43" i="21" s="1"/>
  <c r="SZ35" i="21"/>
  <c r="SZ43" i="21" s="1"/>
  <c r="SY35" i="21"/>
  <c r="SY43" i="21" s="1"/>
  <c r="SW35" i="21"/>
  <c r="SW43" i="21" s="1"/>
  <c r="SV35" i="21"/>
  <c r="SV43" i="21" s="1"/>
  <c r="SQ35" i="21"/>
  <c r="SQ43" i="21" s="1"/>
  <c r="SP35" i="21"/>
  <c r="SP43" i="21" s="1"/>
  <c r="SO35" i="21"/>
  <c r="SO43" i="21" s="1"/>
  <c r="SI35" i="21"/>
  <c r="SI43" i="21" s="1"/>
  <c r="SH35" i="21"/>
  <c r="SH43" i="21" s="1"/>
  <c r="SC35" i="21"/>
  <c r="SC43" i="21" s="1"/>
  <c r="SB35" i="21"/>
  <c r="SB43" i="21" s="1"/>
  <c r="RZ35" i="21"/>
  <c r="RZ43" i="21" s="1"/>
  <c r="RY35" i="21"/>
  <c r="RY43" i="21" s="1"/>
  <c r="RW35" i="21"/>
  <c r="RW43" i="21" s="1"/>
  <c r="RV35" i="21"/>
  <c r="RV43" i="21" s="1"/>
  <c r="RT35" i="21"/>
  <c r="RT43" i="21" s="1"/>
  <c r="RS35" i="21"/>
  <c r="RS43" i="21" s="1"/>
  <c r="RQ35" i="21"/>
  <c r="RQ43" i="21" s="1"/>
  <c r="RP35" i="21"/>
  <c r="RP43" i="21" s="1"/>
  <c r="RN35" i="21"/>
  <c r="RN43" i="21" s="1"/>
  <c r="RM35" i="21"/>
  <c r="RM43" i="21" s="1"/>
  <c r="RK35" i="21"/>
  <c r="RK43" i="21" s="1"/>
  <c r="RJ35" i="21"/>
  <c r="RJ43" i="21" s="1"/>
  <c r="RE35" i="21"/>
  <c r="RE43" i="21" s="1"/>
  <c r="RD35" i="21"/>
  <c r="RD43" i="21" s="1"/>
  <c r="QY35" i="21"/>
  <c r="QY43" i="21" s="1"/>
  <c r="QX35" i="21"/>
  <c r="QX43" i="21" s="1"/>
  <c r="QW35" i="21"/>
  <c r="QW43" i="21" s="1"/>
  <c r="QV35" i="21"/>
  <c r="QV43" i="21" s="1"/>
  <c r="QU35" i="21"/>
  <c r="QU43" i="21" s="1"/>
  <c r="QT35" i="21"/>
  <c r="QT43" i="21" s="1"/>
  <c r="QS35" i="21"/>
  <c r="QS43" i="21" s="1"/>
  <c r="QR35" i="21"/>
  <c r="QR43" i="21" s="1"/>
  <c r="QQ35" i="21"/>
  <c r="QQ43" i="21" s="1"/>
  <c r="QP35" i="21"/>
  <c r="QP43" i="21" s="1"/>
  <c r="QO35" i="21"/>
  <c r="QO43" i="21" s="1"/>
  <c r="QN35" i="21"/>
  <c r="QN43" i="21" s="1"/>
  <c r="QM35" i="21"/>
  <c r="QM43" i="21" s="1"/>
  <c r="QL35" i="21"/>
  <c r="QL43" i="21" s="1"/>
  <c r="QK35" i="21"/>
  <c r="QK43" i="21" s="1"/>
  <c r="QJ35" i="21"/>
  <c r="QJ43" i="21" s="1"/>
  <c r="QI35" i="21"/>
  <c r="QI43" i="21" s="1"/>
  <c r="QH35" i="21"/>
  <c r="QH43" i="21" s="1"/>
  <c r="QE35" i="21"/>
  <c r="QD35" i="21"/>
  <c r="QC35" i="21"/>
  <c r="PZ35" i="21"/>
  <c r="PZ43" i="21" s="1"/>
  <c r="PY35" i="21"/>
  <c r="PY43" i="21" s="1"/>
  <c r="PX35" i="21"/>
  <c r="PX43" i="21" s="1"/>
  <c r="PW35" i="21"/>
  <c r="PW43" i="21" s="1"/>
  <c r="PV35" i="21"/>
  <c r="PV43" i="21" s="1"/>
  <c r="PU35" i="21"/>
  <c r="PU43" i="21" s="1"/>
  <c r="PT35" i="21"/>
  <c r="PT43" i="21" s="1"/>
  <c r="PS35" i="21"/>
  <c r="PS43" i="21" s="1"/>
  <c r="PR35" i="21"/>
  <c r="PR43" i="21" s="1"/>
  <c r="PQ35" i="21"/>
  <c r="PQ43" i="21" s="1"/>
  <c r="PP35" i="21"/>
  <c r="PP43" i="21" s="1"/>
  <c r="PO35" i="21"/>
  <c r="PO43" i="21" s="1"/>
  <c r="PN35" i="21"/>
  <c r="PN43" i="21" s="1"/>
  <c r="PM35" i="21"/>
  <c r="PM43" i="21" s="1"/>
  <c r="PL35" i="21"/>
  <c r="PL43" i="21" s="1"/>
  <c r="PK35" i="21"/>
  <c r="PK43" i="21" s="1"/>
  <c r="PJ35" i="21"/>
  <c r="PJ43" i="21" s="1"/>
  <c r="PI35" i="21"/>
  <c r="PI43" i="21" s="1"/>
  <c r="PH35" i="21"/>
  <c r="PH43" i="21" s="1"/>
  <c r="PG35" i="21"/>
  <c r="PG43" i="21" s="1"/>
  <c r="PF35" i="21"/>
  <c r="PF43" i="21" s="1"/>
  <c r="PE35" i="21"/>
  <c r="PE43" i="21" s="1"/>
  <c r="PD35" i="21"/>
  <c r="PD43" i="21" s="1"/>
  <c r="PC35" i="21"/>
  <c r="PC43" i="21" s="1"/>
  <c r="PB35" i="21"/>
  <c r="PB43" i="21" s="1"/>
  <c r="PA35" i="21"/>
  <c r="PA43" i="21" s="1"/>
  <c r="OZ35" i="21"/>
  <c r="OZ43" i="21" s="1"/>
  <c r="OY35" i="21"/>
  <c r="OY43" i="21" s="1"/>
  <c r="OX35" i="21"/>
  <c r="OX43" i="21" s="1"/>
  <c r="OW35" i="21"/>
  <c r="OW43" i="21" s="1"/>
  <c r="OQ35" i="21"/>
  <c r="OQ43" i="21" s="1"/>
  <c r="OP35" i="21"/>
  <c r="OP43" i="21" s="1"/>
  <c r="OO35" i="21"/>
  <c r="OO43" i="21" s="1"/>
  <c r="OI35" i="21"/>
  <c r="OI43" i="21" s="1"/>
  <c r="OH35" i="21"/>
  <c r="OH43" i="21" s="1"/>
  <c r="OF35" i="21"/>
  <c r="OF43" i="21" s="1"/>
  <c r="OE35" i="21"/>
  <c r="OE43" i="21" s="1"/>
  <c r="OC35" i="21"/>
  <c r="OC43" i="21" s="1"/>
  <c r="OB35" i="21"/>
  <c r="OB43" i="21" s="1"/>
  <c r="NZ35" i="21"/>
  <c r="NZ43" i="21" s="1"/>
  <c r="NY35" i="21"/>
  <c r="NY43" i="21" s="1"/>
  <c r="NW35" i="21"/>
  <c r="NW43" i="21" s="1"/>
  <c r="NV35" i="21"/>
  <c r="NV43" i="21" s="1"/>
  <c r="NT35" i="21"/>
  <c r="NT43" i="21" s="1"/>
  <c r="NS35" i="21"/>
  <c r="NS43" i="21" s="1"/>
  <c r="NQ35" i="21"/>
  <c r="NQ43" i="21" s="1"/>
  <c r="NP35" i="21"/>
  <c r="NP43" i="21" s="1"/>
  <c r="NO35" i="21"/>
  <c r="NO43" i="21" s="1"/>
  <c r="NN35" i="21"/>
  <c r="NN43" i="21" s="1"/>
  <c r="NM35" i="21"/>
  <c r="NM43" i="21" s="1"/>
  <c r="NL35" i="21"/>
  <c r="NL43" i="21" s="1"/>
  <c r="NK35" i="21"/>
  <c r="NK43" i="21" s="1"/>
  <c r="NA35" i="21"/>
  <c r="NA43" i="21" s="1"/>
  <c r="MZ35" i="21"/>
  <c r="MZ43" i="21" s="1"/>
  <c r="MY35" i="21"/>
  <c r="MY43" i="21" s="1"/>
  <c r="MW35" i="21"/>
  <c r="MW43" i="21" s="1"/>
  <c r="MV35" i="21"/>
  <c r="MV43" i="21" s="1"/>
  <c r="MU35" i="21"/>
  <c r="MU43" i="21" s="1"/>
  <c r="MS35" i="21"/>
  <c r="MS43" i="21" s="1"/>
  <c r="MR35" i="21"/>
  <c r="MR43" i="21" s="1"/>
  <c r="MQ35" i="21"/>
  <c r="MQ43" i="21" s="1"/>
  <c r="MO35" i="21"/>
  <c r="MO43" i="21" s="1"/>
  <c r="MN35" i="21"/>
  <c r="MN43" i="21" s="1"/>
  <c r="MM35" i="21"/>
  <c r="MM43" i="21" s="1"/>
  <c r="MK35" i="21"/>
  <c r="MK43" i="21" s="1"/>
  <c r="MJ35" i="21"/>
  <c r="MJ43" i="21" s="1"/>
  <c r="MI35" i="21"/>
  <c r="MI43" i="21" s="1"/>
  <c r="MH35" i="21"/>
  <c r="MH43" i="21" s="1"/>
  <c r="MG35" i="21"/>
  <c r="MG43" i="21" s="1"/>
  <c r="MF35" i="21"/>
  <c r="MF43" i="21" s="1"/>
  <c r="ME35" i="21"/>
  <c r="ME43" i="21" s="1"/>
  <c r="MD35" i="21"/>
  <c r="MD43" i="21" s="1"/>
  <c r="MC35" i="21"/>
  <c r="MC43" i="21" s="1"/>
  <c r="MB35" i="21"/>
  <c r="MB43" i="21" s="1"/>
  <c r="MA35" i="21"/>
  <c r="MA43" i="21" s="1"/>
  <c r="LU35" i="21"/>
  <c r="LU43" i="21" s="1"/>
  <c r="LT35" i="21"/>
  <c r="LT43" i="21" s="1"/>
  <c r="LS35" i="21"/>
  <c r="LS43" i="21" s="1"/>
  <c r="LR35" i="21"/>
  <c r="LR43" i="21" s="1"/>
  <c r="LQ35" i="21"/>
  <c r="LQ43" i="21" s="1"/>
  <c r="LP35" i="21"/>
  <c r="LP43" i="21" s="1"/>
  <c r="LO35" i="21"/>
  <c r="LO43" i="21" s="1"/>
  <c r="LN35" i="21"/>
  <c r="LN43" i="21" s="1"/>
  <c r="LM35" i="21"/>
  <c r="LM43" i="21" s="1"/>
  <c r="LL35" i="21"/>
  <c r="LL43" i="21" s="1"/>
  <c r="LK35" i="21"/>
  <c r="LK43" i="21" s="1"/>
  <c r="LJ35" i="21"/>
  <c r="LJ43" i="21" s="1"/>
  <c r="LI35" i="21"/>
  <c r="LI43" i="21" s="1"/>
  <c r="LH35" i="21"/>
  <c r="LH43" i="21" s="1"/>
  <c r="LG35" i="21"/>
  <c r="LG43" i="21" s="1"/>
  <c r="LF35" i="21"/>
  <c r="LF43" i="21" s="1"/>
  <c r="LE35" i="21"/>
  <c r="LE43" i="21" s="1"/>
  <c r="LD35" i="21"/>
  <c r="LD43" i="21" s="1"/>
  <c r="LC35" i="21"/>
  <c r="LC43" i="21" s="1"/>
  <c r="LB35" i="21"/>
  <c r="LB43" i="21" s="1"/>
  <c r="LA35" i="21"/>
  <c r="LA43" i="21" s="1"/>
  <c r="KZ35" i="21"/>
  <c r="KZ43" i="21" s="1"/>
  <c r="KY35" i="21"/>
  <c r="KY43" i="21" s="1"/>
  <c r="KX35" i="21"/>
  <c r="KX43" i="21" s="1"/>
  <c r="KW35" i="21"/>
  <c r="KW43" i="21" s="1"/>
  <c r="KV35" i="21"/>
  <c r="KV43" i="21" s="1"/>
  <c r="KO35" i="21"/>
  <c r="KO43" i="21" s="1"/>
  <c r="KN35" i="21"/>
  <c r="KN43" i="21" s="1"/>
  <c r="KM35" i="21"/>
  <c r="KM43" i="21" s="1"/>
  <c r="KL35" i="21"/>
  <c r="KL43" i="21" s="1"/>
  <c r="KK35" i="21"/>
  <c r="KK43" i="21" s="1"/>
  <c r="KJ35" i="21"/>
  <c r="KJ43" i="21" s="1"/>
  <c r="KI35" i="21"/>
  <c r="KI43" i="21" s="1"/>
  <c r="KH35" i="21"/>
  <c r="KH43" i="21" s="1"/>
  <c r="KG35" i="21"/>
  <c r="KG43" i="21" s="1"/>
  <c r="KF35" i="21"/>
  <c r="KF43" i="21" s="1"/>
  <c r="KE35" i="21"/>
  <c r="KE43" i="21" s="1"/>
  <c r="KD35" i="21"/>
  <c r="KD43" i="21" s="1"/>
  <c r="KC35" i="21"/>
  <c r="KC43" i="21" s="1"/>
  <c r="KB35" i="21"/>
  <c r="KB43" i="21" s="1"/>
  <c r="KA35" i="21"/>
  <c r="KA43" i="21" s="1"/>
  <c r="JZ35" i="21"/>
  <c r="JZ43" i="21" s="1"/>
  <c r="JY35" i="21"/>
  <c r="JY43" i="21" s="1"/>
  <c r="JX35" i="21"/>
  <c r="JX43" i="21" s="1"/>
  <c r="JW35" i="21"/>
  <c r="JW43" i="21" s="1"/>
  <c r="JV35" i="21"/>
  <c r="JV43" i="21" s="1"/>
  <c r="JQ35" i="21"/>
  <c r="JQ43" i="21" s="1"/>
  <c r="JP35" i="21"/>
  <c r="JP43" i="21" s="1"/>
  <c r="JK35" i="21"/>
  <c r="JK43" i="21" s="1"/>
  <c r="JJ35" i="21"/>
  <c r="JJ43" i="21" s="1"/>
  <c r="IU35" i="21"/>
  <c r="IU43" i="21" s="1"/>
  <c r="IT35" i="21"/>
  <c r="IT43" i="21" s="1"/>
  <c r="IO35" i="21"/>
  <c r="IO43" i="21" s="1"/>
  <c r="IN35" i="21"/>
  <c r="IN43" i="21" s="1"/>
  <c r="IL35" i="21"/>
  <c r="IL43" i="21" s="1"/>
  <c r="IK35" i="21"/>
  <c r="IK43" i="21" s="1"/>
  <c r="IC35" i="21"/>
  <c r="IC43" i="21" s="1"/>
  <c r="IB35" i="21"/>
  <c r="IB43" i="21" s="1"/>
  <c r="HZ35" i="21"/>
  <c r="HZ43" i="21" s="1"/>
  <c r="HY35" i="21"/>
  <c r="HY43" i="21" s="1"/>
  <c r="HW35" i="21"/>
  <c r="HW43" i="21" s="1"/>
  <c r="HV35" i="21"/>
  <c r="HV43" i="21" s="1"/>
  <c r="HQ35" i="21"/>
  <c r="HQ43" i="21" s="1"/>
  <c r="HP35" i="21"/>
  <c r="HP43" i="21" s="1"/>
  <c r="HG35" i="21"/>
  <c r="HG43" i="21" s="1"/>
  <c r="HF35" i="21"/>
  <c r="HF43" i="21" s="1"/>
  <c r="HE35" i="21"/>
  <c r="HE43" i="21" s="1"/>
  <c r="HD35" i="21"/>
  <c r="HD43" i="21" s="1"/>
  <c r="HC35" i="21"/>
  <c r="HC43" i="21" s="1"/>
  <c r="HB35" i="21"/>
  <c r="HB43" i="21" s="1"/>
  <c r="HA35" i="21"/>
  <c r="HA43" i="21" s="1"/>
  <c r="GK35" i="21"/>
  <c r="GK43" i="21" s="1"/>
  <c r="GJ35" i="21"/>
  <c r="GJ43" i="21" s="1"/>
  <c r="GE35" i="21"/>
  <c r="GE43" i="21" s="1"/>
  <c r="GD35" i="21"/>
  <c r="GD43" i="21" s="1"/>
  <c r="FY35" i="21"/>
  <c r="FY43" i="21" s="1"/>
  <c r="FX35" i="21"/>
  <c r="FX43" i="21" s="1"/>
  <c r="FM35" i="21"/>
  <c r="FM43" i="21" s="1"/>
  <c r="FL35" i="21"/>
  <c r="FL43" i="21" s="1"/>
  <c r="FK35" i="21"/>
  <c r="FK43" i="21" s="1"/>
  <c r="FJ35" i="21"/>
  <c r="FJ43" i="21" s="1"/>
  <c r="FI35" i="21"/>
  <c r="FI43" i="21" s="1"/>
  <c r="FH35" i="21"/>
  <c r="FH43" i="21" s="1"/>
  <c r="FG35" i="21"/>
  <c r="FG43" i="21" s="1"/>
  <c r="FF35" i="21"/>
  <c r="FF43" i="21" s="1"/>
  <c r="EU35" i="21"/>
  <c r="EU43" i="21" s="1"/>
  <c r="ET35" i="21"/>
  <c r="ET43" i="21" s="1"/>
  <c r="ES35" i="21"/>
  <c r="ES43" i="21" s="1"/>
  <c r="EM35" i="21"/>
  <c r="EM43" i="21" s="1"/>
  <c r="EL35" i="21"/>
  <c r="EL43" i="21" s="1"/>
  <c r="EG35" i="21"/>
  <c r="EG43" i="21" s="1"/>
  <c r="EF35" i="21"/>
  <c r="EF43" i="21" s="1"/>
  <c r="EA35" i="21"/>
  <c r="EA43" i="21" s="1"/>
  <c r="DZ35" i="21"/>
  <c r="DZ43" i="21" s="1"/>
  <c r="DY35" i="21"/>
  <c r="DY43" i="21" s="1"/>
  <c r="DS35" i="21"/>
  <c r="DS43" i="21" s="1"/>
  <c r="DR35" i="21"/>
  <c r="DR43" i="21" s="1"/>
  <c r="DQ35" i="21"/>
  <c r="DQ43" i="21" s="1"/>
  <c r="DP35" i="21"/>
  <c r="DP43" i="21" s="1"/>
  <c r="DO35" i="21"/>
  <c r="DO43" i="21" s="1"/>
  <c r="DN35" i="21"/>
  <c r="DN43" i="21" s="1"/>
  <c r="DM35" i="21"/>
  <c r="DM43" i="21" s="1"/>
  <c r="DL35" i="21"/>
  <c r="DL43" i="21" s="1"/>
  <c r="DK35" i="21"/>
  <c r="DK43" i="21" s="1"/>
  <c r="DJ35" i="21"/>
  <c r="DJ43" i="21" s="1"/>
  <c r="DI35" i="21"/>
  <c r="DI43" i="21" s="1"/>
  <c r="DH35" i="21"/>
  <c r="DH43" i="21" s="1"/>
  <c r="DG35" i="21"/>
  <c r="DG43" i="21" s="1"/>
  <c r="DF35" i="21"/>
  <c r="DF43" i="21" s="1"/>
  <c r="DE35" i="21"/>
  <c r="DE43" i="21" s="1"/>
  <c r="DD35" i="21"/>
  <c r="DD43" i="21" s="1"/>
  <c r="CU35" i="21"/>
  <c r="CU43" i="21" s="1"/>
  <c r="CT35" i="21"/>
  <c r="CT43" i="21" s="1"/>
  <c r="CO35" i="21"/>
  <c r="CO43" i="21" s="1"/>
  <c r="CN35" i="21"/>
  <c r="CN43" i="21" s="1"/>
  <c r="CM35" i="21"/>
  <c r="CM43" i="21" s="1"/>
  <c r="CL35" i="21"/>
  <c r="CL43" i="21" s="1"/>
  <c r="CK35" i="21"/>
  <c r="CK43" i="21" s="1"/>
  <c r="CJ35" i="21"/>
  <c r="CJ43" i="21" s="1"/>
  <c r="CI35" i="21"/>
  <c r="CI43" i="21" s="1"/>
  <c r="CA35" i="21"/>
  <c r="CA43" i="21" s="1"/>
  <c r="BZ35" i="21"/>
  <c r="BZ43" i="21" s="1"/>
  <c r="BY35" i="21"/>
  <c r="BY43" i="21" s="1"/>
  <c r="BX35" i="21"/>
  <c r="BX43" i="21" s="1"/>
  <c r="BW35" i="21"/>
  <c r="BW43" i="21" s="1"/>
  <c r="BV35" i="21"/>
  <c r="BV43" i="21" s="1"/>
  <c r="BU35" i="21"/>
  <c r="BU43" i="21" s="1"/>
  <c r="BS35" i="21"/>
  <c r="BS43" i="21" s="1"/>
  <c r="BR35" i="21"/>
  <c r="BR43" i="21" s="1"/>
  <c r="BQ35" i="21"/>
  <c r="BQ43" i="21" s="1"/>
  <c r="BP35" i="21"/>
  <c r="BP43" i="21" s="1"/>
  <c r="BO35" i="21"/>
  <c r="BO43" i="21" s="1"/>
  <c r="BN35" i="21"/>
  <c r="BN43" i="21" s="1"/>
  <c r="BM35" i="21"/>
  <c r="BM43" i="21" s="1"/>
  <c r="BL35" i="21"/>
  <c r="BL43" i="21" s="1"/>
  <c r="BK35" i="21"/>
  <c r="BK43" i="21" s="1"/>
  <c r="BG35" i="21"/>
  <c r="BG43" i="21" s="1"/>
  <c r="BF35" i="21"/>
  <c r="BF43" i="21" s="1"/>
  <c r="BE35" i="21"/>
  <c r="BE43" i="21" s="1"/>
  <c r="BD35" i="21"/>
  <c r="BD43" i="21" s="1"/>
  <c r="BC35" i="21"/>
  <c r="BC43" i="21" s="1"/>
  <c r="BB35" i="21"/>
  <c r="BB43" i="21" s="1"/>
  <c r="BA35" i="21"/>
  <c r="BA43" i="21" s="1"/>
  <c r="AZ35" i="21"/>
  <c r="AZ43" i="21" s="1"/>
  <c r="AY35" i="21"/>
  <c r="AY43" i="21" s="1"/>
  <c r="AX35" i="21"/>
  <c r="AX43" i="21" s="1"/>
  <c r="AW35" i="21"/>
  <c r="AW43" i="21" s="1"/>
  <c r="AV35" i="21"/>
  <c r="AV43" i="21" s="1"/>
  <c r="AU35" i="21"/>
  <c r="AU43" i="21" s="1"/>
  <c r="AT35" i="21"/>
  <c r="AT43" i="21" s="1"/>
  <c r="AM35" i="21"/>
  <c r="AM43" i="21" s="1"/>
  <c r="AI35" i="21"/>
  <c r="AI43" i="21" s="1"/>
  <c r="AH35" i="21"/>
  <c r="AH43" i="21" s="1"/>
  <c r="AC35" i="21"/>
  <c r="AC43" i="21" s="1"/>
  <c r="AB43" i="21"/>
  <c r="AA35" i="21"/>
  <c r="AA43" i="21" s="1"/>
  <c r="U35" i="21"/>
  <c r="U43" i="21" s="1"/>
  <c r="Q35" i="21"/>
  <c r="Q43" i="21" s="1"/>
  <c r="O35" i="21"/>
  <c r="O43" i="21" s="1"/>
  <c r="M35" i="21"/>
  <c r="M43" i="21" s="1"/>
  <c r="I35" i="21"/>
  <c r="I43" i="21" s="1"/>
  <c r="G35" i="21"/>
  <c r="G43" i="21" s="1"/>
  <c r="AAW34" i="21"/>
  <c r="AAV34" i="21"/>
  <c r="AAE34" i="21"/>
  <c r="AAD34" i="21"/>
  <c r="ZX34" i="21"/>
  <c r="ZR34" i="21"/>
  <c r="ZQ34" i="21"/>
  <c r="ZP34" i="21"/>
  <c r="ZO34" i="21"/>
  <c r="ZN34" i="21"/>
  <c r="ZM34" i="21"/>
  <c r="ZK34" i="21"/>
  <c r="ZJ34" i="21"/>
  <c r="ZI34" i="21"/>
  <c r="ZH34" i="21"/>
  <c r="ZG34" i="21"/>
  <c r="YZ34" i="21"/>
  <c r="YT34" i="21"/>
  <c r="YH34" i="21"/>
  <c r="YG34" i="21"/>
  <c r="YF34" i="21"/>
  <c r="YE34" i="21"/>
  <c r="YD34" i="21"/>
  <c r="YC34" i="21"/>
  <c r="YB34" i="21"/>
  <c r="YA34" i="21"/>
  <c r="XZ34" i="21"/>
  <c r="XY34" i="21"/>
  <c r="XR34" i="21"/>
  <c r="XP34" i="21"/>
  <c r="XN34" i="21"/>
  <c r="XM34" i="21"/>
  <c r="XL34" i="21" s="1"/>
  <c r="XI34" i="21"/>
  <c r="XH34" i="21"/>
  <c r="XG34" i="21"/>
  <c r="XC34" i="21"/>
  <c r="XB34" i="21"/>
  <c r="XA34" i="21"/>
  <c r="WW34" i="21"/>
  <c r="WV34" i="21"/>
  <c r="WU34" i="21"/>
  <c r="WO34" i="21"/>
  <c r="WN34" i="21"/>
  <c r="WM34" i="21"/>
  <c r="WI34" i="21"/>
  <c r="WH34" i="21"/>
  <c r="WG34" i="21"/>
  <c r="WD34" i="21"/>
  <c r="WB34" i="21"/>
  <c r="VZ34" i="21"/>
  <c r="VX34" i="21"/>
  <c r="VR34" i="21"/>
  <c r="VO34" i="21"/>
  <c r="TE34" i="21"/>
  <c r="TD34" i="21"/>
  <c r="TC34" i="21"/>
  <c r="TB34" i="21"/>
  <c r="TA34" i="21"/>
  <c r="SU34" i="21"/>
  <c r="ST34" i="21"/>
  <c r="SS34" i="21"/>
  <c r="SN34" i="21"/>
  <c r="SM34" i="21"/>
  <c r="SL34" i="21"/>
  <c r="SK34" i="21"/>
  <c r="SG34" i="21"/>
  <c r="SF34" i="21"/>
  <c r="SE34" i="21"/>
  <c r="SA34" i="21"/>
  <c r="RX34" i="21"/>
  <c r="RU34" i="21"/>
  <c r="RR34" i="21"/>
  <c r="RO34" i="21"/>
  <c r="RL34" i="21"/>
  <c r="RI34" i="21"/>
  <c r="RH34" i="21"/>
  <c r="RG34" i="21"/>
  <c r="RC34" i="21"/>
  <c r="RB34" i="21"/>
  <c r="RA34" i="21"/>
  <c r="OV34" i="21"/>
  <c r="OU34" i="21"/>
  <c r="OT34" i="21"/>
  <c r="OS34" i="21"/>
  <c r="ON34" i="21"/>
  <c r="OM34" i="21"/>
  <c r="OL34" i="21"/>
  <c r="OK34" i="21"/>
  <c r="OG34" i="21"/>
  <c r="OD34" i="21"/>
  <c r="OA34" i="21"/>
  <c r="NX34" i="21"/>
  <c r="NU34" i="21"/>
  <c r="NR34" i="21"/>
  <c r="NJ34" i="21"/>
  <c r="NI34" i="21"/>
  <c r="NH34" i="21"/>
  <c r="NG34" i="21"/>
  <c r="NF34" i="21"/>
  <c r="NE34" i="21"/>
  <c r="ND34" i="21"/>
  <c r="NC34" i="21"/>
  <c r="MX34" i="21"/>
  <c r="MT34" i="21"/>
  <c r="MP34" i="21"/>
  <c r="ML34" i="21"/>
  <c r="LZ34" i="21"/>
  <c r="LY34" i="21"/>
  <c r="LX34" i="21"/>
  <c r="LW34" i="21"/>
  <c r="KU34" i="21"/>
  <c r="KT34" i="21"/>
  <c r="KS34" i="21"/>
  <c r="KR34" i="21"/>
  <c r="KQ34" i="21"/>
  <c r="JU34" i="21"/>
  <c r="JT34" i="21"/>
  <c r="JS34" i="21"/>
  <c r="JO34" i="21"/>
  <c r="JN34" i="21"/>
  <c r="JM34" i="21"/>
  <c r="JI34" i="21"/>
  <c r="JH34" i="21"/>
  <c r="JG34" i="21"/>
  <c r="IS34" i="21"/>
  <c r="IR34" i="21"/>
  <c r="AP32" i="16" s="1"/>
  <c r="IQ34" i="21"/>
  <c r="IM34" i="21"/>
  <c r="IJ34" i="21"/>
  <c r="II34" i="21"/>
  <c r="IH34" i="21"/>
  <c r="IF34" i="21"/>
  <c r="IE34" i="21"/>
  <c r="IA34" i="21"/>
  <c r="HX34" i="21"/>
  <c r="HU34" i="21"/>
  <c r="HT34" i="21"/>
  <c r="HS34" i="21"/>
  <c r="HO34" i="21"/>
  <c r="HN34" i="21"/>
  <c r="HM34" i="21"/>
  <c r="HK34" i="21"/>
  <c r="HI34" i="21" s="1"/>
  <c r="HJ34" i="21"/>
  <c r="HH34" i="21" s="1"/>
  <c r="GZ34" i="21"/>
  <c r="GY34" i="21"/>
  <c r="GX34" i="21"/>
  <c r="GW34" i="21"/>
  <c r="GI34" i="21"/>
  <c r="GH34" i="21"/>
  <c r="AH32" i="16" s="1"/>
  <c r="GG34" i="21"/>
  <c r="GC34" i="21"/>
  <c r="GB34" i="21"/>
  <c r="GA34" i="21"/>
  <c r="FW34" i="21"/>
  <c r="FV34" i="21"/>
  <c r="FP34" i="21" s="1"/>
  <c r="FU34" i="21"/>
  <c r="FO34" i="21" s="1"/>
  <c r="FS34" i="21"/>
  <c r="FR34" i="21"/>
  <c r="FE34" i="21"/>
  <c r="FD34" i="21"/>
  <c r="FC34" i="21"/>
  <c r="EY34" i="21"/>
  <c r="EX34" i="21"/>
  <c r="EW34" i="21"/>
  <c r="ER34" i="21"/>
  <c r="EQ34" i="21"/>
  <c r="EP34" i="21"/>
  <c r="EO34" i="21"/>
  <c r="EK34" i="21"/>
  <c r="EJ34" i="21"/>
  <c r="EI34" i="21"/>
  <c r="EE34" i="21"/>
  <c r="ED34" i="21"/>
  <c r="EC34" i="21"/>
  <c r="DX34" i="21"/>
  <c r="DW34" i="21"/>
  <c r="DV34" i="21"/>
  <c r="DU34" i="21"/>
  <c r="DC34" i="21"/>
  <c r="DB34" i="21"/>
  <c r="DA34" i="21"/>
  <c r="CZ34" i="21"/>
  <c r="CY34" i="21"/>
  <c r="CX34" i="21"/>
  <c r="CW34" i="21"/>
  <c r="CS34" i="21"/>
  <c r="CR34" i="21"/>
  <c r="CQ34" i="21"/>
  <c r="CH34" i="21"/>
  <c r="BT34" i="21"/>
  <c r="BJ34" i="21"/>
  <c r="BI34" i="21"/>
  <c r="AS34" i="21"/>
  <c r="AR34" i="21"/>
  <c r="AQ34" i="21"/>
  <c r="AL34" i="21"/>
  <c r="AG34" i="21"/>
  <c r="AK34" i="21" s="1"/>
  <c r="Z34" i="21"/>
  <c r="T34" i="21"/>
  <c r="S34" i="21"/>
  <c r="P34" i="21"/>
  <c r="L34" i="21"/>
  <c r="K34" i="21"/>
  <c r="H34" i="21"/>
  <c r="F34" i="21"/>
  <c r="AAW33" i="21"/>
  <c r="AAV33" i="21"/>
  <c r="AAE33" i="21"/>
  <c r="AAE35" i="21" s="1"/>
  <c r="AAE43" i="21" s="1"/>
  <c r="AAD33" i="21"/>
  <c r="ZX33" i="21"/>
  <c r="ZX35" i="21" s="1"/>
  <c r="ZX43" i="21" s="1"/>
  <c r="ZR33" i="21"/>
  <c r="ZQ33" i="21"/>
  <c r="ZP33" i="21"/>
  <c r="ZO33" i="21"/>
  <c r="ZN33" i="21"/>
  <c r="ZM33" i="21"/>
  <c r="ZM35" i="21" s="1"/>
  <c r="ZM43" i="21" s="1"/>
  <c r="ZK33" i="21"/>
  <c r="ZJ33" i="21"/>
  <c r="ZI33" i="21"/>
  <c r="ZH33" i="21"/>
  <c r="ZG33" i="21"/>
  <c r="YZ33" i="21"/>
  <c r="YT33" i="21"/>
  <c r="YH33" i="21"/>
  <c r="YG33" i="21"/>
  <c r="YF33" i="21"/>
  <c r="YE33" i="21"/>
  <c r="YD33" i="21"/>
  <c r="YC33" i="21"/>
  <c r="YB33" i="21"/>
  <c r="YA33" i="21"/>
  <c r="XZ33" i="21"/>
  <c r="XY33" i="21"/>
  <c r="XR33" i="21"/>
  <c r="XR35" i="21" s="1"/>
  <c r="XR43" i="21" s="1"/>
  <c r="XP33" i="21"/>
  <c r="XN33" i="21"/>
  <c r="XN35" i="21" s="1"/>
  <c r="XN43" i="21" s="1"/>
  <c r="XM33" i="21"/>
  <c r="XI33" i="21"/>
  <c r="XH33" i="21"/>
  <c r="XG33" i="21"/>
  <c r="XC33" i="21"/>
  <c r="XB33" i="21"/>
  <c r="XA33" i="21"/>
  <c r="WW33" i="21"/>
  <c r="WV33" i="21"/>
  <c r="WU33" i="21"/>
  <c r="WO33" i="21"/>
  <c r="WN33" i="21"/>
  <c r="WM33" i="21"/>
  <c r="WI33" i="21"/>
  <c r="WH33" i="21"/>
  <c r="WG33" i="21"/>
  <c r="WD33" i="21"/>
  <c r="WB33" i="21"/>
  <c r="VZ33" i="21"/>
  <c r="VX33" i="21"/>
  <c r="VR33" i="21"/>
  <c r="VO33" i="21"/>
  <c r="TE33" i="21"/>
  <c r="TD33" i="21"/>
  <c r="TC33" i="21"/>
  <c r="TB33" i="21"/>
  <c r="TA33" i="21"/>
  <c r="SU33" i="21"/>
  <c r="SU35" i="21" s="1"/>
  <c r="SU43" i="21" s="1"/>
  <c r="ST33" i="21"/>
  <c r="SS33" i="21"/>
  <c r="SN33" i="21"/>
  <c r="SM33" i="21"/>
  <c r="SL33" i="21"/>
  <c r="SK33" i="21"/>
  <c r="SG33" i="21"/>
  <c r="SG35" i="21" s="1"/>
  <c r="SG43" i="21" s="1"/>
  <c r="SF33" i="21"/>
  <c r="SE33" i="21"/>
  <c r="SA33" i="21"/>
  <c r="SA35" i="21" s="1"/>
  <c r="SA43" i="21" s="1"/>
  <c r="RX33" i="21"/>
  <c r="RU33" i="21"/>
  <c r="RU35" i="21" s="1"/>
  <c r="RU43" i="21" s="1"/>
  <c r="RR33" i="21"/>
  <c r="RR35" i="21" s="1"/>
  <c r="RR43" i="21" s="1"/>
  <c r="RO33" i="21"/>
  <c r="RO35" i="21" s="1"/>
  <c r="RO43" i="21" s="1"/>
  <c r="RL33" i="21"/>
  <c r="RI33" i="21"/>
  <c r="RI35" i="21" s="1"/>
  <c r="RI43" i="21" s="1"/>
  <c r="RH33" i="21"/>
  <c r="RG33" i="21"/>
  <c r="RC33" i="21"/>
  <c r="RC35" i="21" s="1"/>
  <c r="RC43" i="21" s="1"/>
  <c r="RB33" i="21"/>
  <c r="RA33" i="21"/>
  <c r="OV33" i="21"/>
  <c r="OU33" i="21"/>
  <c r="OT33" i="21"/>
  <c r="OS33" i="21"/>
  <c r="ON33" i="21"/>
  <c r="ON35" i="21" s="1"/>
  <c r="ON43" i="21" s="1"/>
  <c r="OM33" i="21"/>
  <c r="OL33" i="21"/>
  <c r="OK33" i="21"/>
  <c r="OG33" i="21"/>
  <c r="OD33" i="21"/>
  <c r="OD35" i="21" s="1"/>
  <c r="OD43" i="21" s="1"/>
  <c r="OA33" i="21"/>
  <c r="OA35" i="21" s="1"/>
  <c r="OA43" i="21" s="1"/>
  <c r="NX33" i="21"/>
  <c r="NX35" i="21" s="1"/>
  <c r="NX43" i="21" s="1"/>
  <c r="NU33" i="21"/>
  <c r="NU35" i="21" s="1"/>
  <c r="NU43" i="21" s="1"/>
  <c r="NR33" i="21"/>
  <c r="NJ33" i="21"/>
  <c r="NI33" i="21"/>
  <c r="NH33" i="21"/>
  <c r="NG33" i="21"/>
  <c r="NF33" i="21"/>
  <c r="NE33" i="21"/>
  <c r="ND33" i="21"/>
  <c r="NC33" i="21"/>
  <c r="MX33" i="21"/>
  <c r="MX35" i="21" s="1"/>
  <c r="MX43" i="21" s="1"/>
  <c r="MT33" i="21"/>
  <c r="MP33" i="21"/>
  <c r="ML33" i="21"/>
  <c r="LZ33" i="21"/>
  <c r="LZ35" i="21" s="1"/>
  <c r="LZ43" i="21" s="1"/>
  <c r="LY33" i="21"/>
  <c r="LX33" i="21"/>
  <c r="LW33" i="21"/>
  <c r="KU33" i="21"/>
  <c r="KT33" i="21"/>
  <c r="KS33" i="21"/>
  <c r="KR33" i="21"/>
  <c r="KQ33" i="21"/>
  <c r="JU33" i="21"/>
  <c r="JU35" i="21" s="1"/>
  <c r="JU43" i="21" s="1"/>
  <c r="JT33" i="21"/>
  <c r="JS33" i="21"/>
  <c r="JO33" i="21"/>
  <c r="JO35" i="21" s="1"/>
  <c r="JO43" i="21" s="1"/>
  <c r="JN33" i="21"/>
  <c r="JM33" i="21"/>
  <c r="JI33" i="21"/>
  <c r="JH33" i="21"/>
  <c r="JG33" i="21"/>
  <c r="IS33" i="21"/>
  <c r="IS35" i="21" s="1"/>
  <c r="IS43" i="21" s="1"/>
  <c r="IR33" i="21"/>
  <c r="AP31" i="16" s="1"/>
  <c r="IQ33" i="21"/>
  <c r="IM33" i="21"/>
  <c r="IJ33" i="21"/>
  <c r="II33" i="21"/>
  <c r="IH33" i="21"/>
  <c r="IG33" i="21" s="1"/>
  <c r="IF33" i="21"/>
  <c r="IF35" i="21" s="1"/>
  <c r="IF43" i="21" s="1"/>
  <c r="IE33" i="21"/>
  <c r="IA33" i="21"/>
  <c r="IA35" i="21" s="1"/>
  <c r="IA43" i="21" s="1"/>
  <c r="HX33" i="21"/>
  <c r="HX35" i="21" s="1"/>
  <c r="HX43" i="21" s="1"/>
  <c r="HU33" i="21"/>
  <c r="HT33" i="21"/>
  <c r="HS33" i="21"/>
  <c r="HO33" i="21"/>
  <c r="HN33" i="21"/>
  <c r="HM33" i="21"/>
  <c r="HK33" i="21"/>
  <c r="HJ33" i="21"/>
  <c r="HH33" i="21" s="1"/>
  <c r="GZ33" i="21"/>
  <c r="GY33" i="21"/>
  <c r="GX33" i="21"/>
  <c r="GW33" i="21"/>
  <c r="GI33" i="21"/>
  <c r="GH33" i="21"/>
  <c r="AH31" i="16" s="1"/>
  <c r="GG33" i="21"/>
  <c r="GC33" i="21"/>
  <c r="GC35" i="21" s="1"/>
  <c r="GC43" i="21" s="1"/>
  <c r="GB33" i="21"/>
  <c r="GA33" i="21"/>
  <c r="FW33" i="21"/>
  <c r="FW35" i="21" s="1"/>
  <c r="FW43" i="21" s="1"/>
  <c r="FV33" i="21"/>
  <c r="FU33" i="21"/>
  <c r="FS33" i="21"/>
  <c r="FR33" i="21"/>
  <c r="FE33" i="21"/>
  <c r="FD33" i="21"/>
  <c r="FC33" i="21"/>
  <c r="EY33" i="21"/>
  <c r="EX33" i="21"/>
  <c r="EW33" i="21"/>
  <c r="ER33" i="21"/>
  <c r="EQ33" i="21"/>
  <c r="EP33" i="21"/>
  <c r="EO33" i="21"/>
  <c r="EK33" i="21"/>
  <c r="EJ33" i="21"/>
  <c r="EI33" i="21"/>
  <c r="EE33" i="21"/>
  <c r="ED33" i="21"/>
  <c r="EC33" i="21"/>
  <c r="DX33" i="21"/>
  <c r="DW33" i="21"/>
  <c r="DV33" i="21"/>
  <c r="DU33" i="21"/>
  <c r="DC33" i="21"/>
  <c r="DB33" i="21"/>
  <c r="DA33" i="21"/>
  <c r="CZ33" i="21"/>
  <c r="CY33" i="21"/>
  <c r="CX33" i="21"/>
  <c r="CW33" i="21"/>
  <c r="CS33" i="21"/>
  <c r="CS35" i="21" s="1"/>
  <c r="CS43" i="21" s="1"/>
  <c r="CR33" i="21"/>
  <c r="CQ33" i="21"/>
  <c r="CH33" i="21"/>
  <c r="BT33" i="21"/>
  <c r="BJ33" i="21"/>
  <c r="BJ35" i="21" s="1"/>
  <c r="BJ43" i="21" s="1"/>
  <c r="BI33" i="21"/>
  <c r="AS33" i="21"/>
  <c r="AS35" i="21" s="1"/>
  <c r="AS43" i="21" s="1"/>
  <c r="AR33" i="21"/>
  <c r="AQ33" i="21"/>
  <c r="AL33" i="21"/>
  <c r="AG33" i="21"/>
  <c r="AG35" i="21" s="1"/>
  <c r="AG43" i="21" s="1"/>
  <c r="Z33" i="21"/>
  <c r="T33" i="21"/>
  <c r="S33" i="21"/>
  <c r="S35" i="21" s="1"/>
  <c r="S43" i="21" s="1"/>
  <c r="P33" i="21"/>
  <c r="L33" i="21"/>
  <c r="K33" i="21"/>
  <c r="K35" i="21" s="1"/>
  <c r="K43" i="21" s="1"/>
  <c r="H33" i="21"/>
  <c r="F33" i="21"/>
  <c r="AAW32" i="21"/>
  <c r="AAV32" i="21"/>
  <c r="AAU31" i="21"/>
  <c r="AAT31" i="21"/>
  <c r="AAQ31" i="21"/>
  <c r="AAP31" i="21"/>
  <c r="AAO31" i="21"/>
  <c r="AAN31" i="21"/>
  <c r="AAM31" i="21"/>
  <c r="AAL31" i="21"/>
  <c r="AAI31" i="21"/>
  <c r="AAH31" i="21"/>
  <c r="AAG31" i="21"/>
  <c r="AAF31" i="21"/>
  <c r="AAC31" i="21"/>
  <c r="AAB31" i="21"/>
  <c r="AAB41" i="21" s="1"/>
  <c r="AAA31" i="21"/>
  <c r="AAA41" i="21" s="1"/>
  <c r="ZY31" i="21"/>
  <c r="ZY38" i="21" s="1"/>
  <c r="ZU31" i="21"/>
  <c r="ZU41" i="21" s="1"/>
  <c r="ZE31" i="21"/>
  <c r="ZD31" i="21"/>
  <c r="ZC31" i="21"/>
  <c r="ZA31" i="21"/>
  <c r="YR31" i="21"/>
  <c r="YQ31" i="21"/>
  <c r="YP31" i="21"/>
  <c r="YO31" i="21"/>
  <c r="YM31" i="21"/>
  <c r="YL31" i="21"/>
  <c r="YK31" i="21"/>
  <c r="YJ31" i="21"/>
  <c r="YJ41" i="21" s="1"/>
  <c r="XS31" i="21"/>
  <c r="XO31" i="21"/>
  <c r="XM31" i="21"/>
  <c r="XK31" i="21"/>
  <c r="XJ31" i="21"/>
  <c r="XE31" i="21"/>
  <c r="XD31" i="21"/>
  <c r="WY31" i="21"/>
  <c r="WX31" i="21"/>
  <c r="WQ31" i="21"/>
  <c r="WK31" i="21"/>
  <c r="WJ31" i="21"/>
  <c r="WE31" i="21"/>
  <c r="WC31" i="21"/>
  <c r="WA31" i="21"/>
  <c r="VY31" i="21"/>
  <c r="VS31" i="21"/>
  <c r="VA31" i="21"/>
  <c r="UZ31" i="21"/>
  <c r="UY31" i="21"/>
  <c r="UX31" i="21"/>
  <c r="UW31" i="21"/>
  <c r="UV31" i="21"/>
  <c r="TY31" i="21"/>
  <c r="TX31" i="21"/>
  <c r="TX41" i="21" s="1"/>
  <c r="TW31" i="21"/>
  <c r="TV31" i="21"/>
  <c r="TU31" i="21"/>
  <c r="TU38" i="21" s="1"/>
  <c r="TT31" i="21"/>
  <c r="TK31" i="21"/>
  <c r="TJ31" i="21"/>
  <c r="TI31" i="21"/>
  <c r="TH31" i="21"/>
  <c r="TH41" i="21" s="1"/>
  <c r="TG31" i="21"/>
  <c r="TF31" i="21"/>
  <c r="SW31" i="21"/>
  <c r="SV31" i="21"/>
  <c r="SV41" i="21" s="1"/>
  <c r="SQ31" i="21"/>
  <c r="SP31" i="21"/>
  <c r="SP41" i="21" s="1"/>
  <c r="SO31" i="21"/>
  <c r="SI31" i="21"/>
  <c r="SH31" i="21"/>
  <c r="SC31" i="21"/>
  <c r="SB31" i="21"/>
  <c r="RQ31" i="21"/>
  <c r="RQ38" i="21" s="1"/>
  <c r="RP31" i="21"/>
  <c r="RP41" i="21" s="1"/>
  <c r="RK31" i="21"/>
  <c r="RJ31" i="21"/>
  <c r="RE31" i="21"/>
  <c r="RD31" i="21"/>
  <c r="QY31" i="21"/>
  <c r="QX31" i="21"/>
  <c r="QM31" i="21"/>
  <c r="QL31" i="21"/>
  <c r="QE31" i="21"/>
  <c r="QD31" i="21"/>
  <c r="PW31" i="21"/>
  <c r="PV31" i="21"/>
  <c r="PU31" i="21"/>
  <c r="PG31" i="21"/>
  <c r="PF31" i="21"/>
  <c r="PE31" i="21"/>
  <c r="OY31" i="21"/>
  <c r="OX31" i="21"/>
  <c r="OW31" i="21"/>
  <c r="OQ31" i="21"/>
  <c r="OP31" i="21"/>
  <c r="OO31" i="21"/>
  <c r="NO31" i="21"/>
  <c r="NN31" i="21"/>
  <c r="NM31" i="21"/>
  <c r="NL31" i="21"/>
  <c r="NK31" i="21"/>
  <c r="NA31" i="21"/>
  <c r="MZ31" i="21"/>
  <c r="MZ41" i="21" s="1"/>
  <c r="MY31" i="21"/>
  <c r="MK31" i="21"/>
  <c r="MJ31" i="21"/>
  <c r="MI31" i="21"/>
  <c r="MC31" i="21"/>
  <c r="MB31" i="21"/>
  <c r="MA31" i="21"/>
  <c r="MA38" i="21" s="1"/>
  <c r="MA48" i="21" s="1"/>
  <c r="LU31" i="21"/>
  <c r="LT31" i="21"/>
  <c r="LT41" i="21" s="1"/>
  <c r="LI31" i="21"/>
  <c r="LH31" i="21"/>
  <c r="LG31" i="21"/>
  <c r="LF31" i="21"/>
  <c r="LD31" i="21"/>
  <c r="LD41" i="21" s="1"/>
  <c r="LC31" i="21"/>
  <c r="KY31" i="21"/>
  <c r="KX31" i="21"/>
  <c r="KW31" i="21"/>
  <c r="KV31" i="21"/>
  <c r="KO31" i="21"/>
  <c r="KN31" i="21"/>
  <c r="KC31" i="21"/>
  <c r="KB31" i="21"/>
  <c r="KB41" i="21" s="1"/>
  <c r="JW31" i="21"/>
  <c r="JV31" i="21"/>
  <c r="JQ31" i="21"/>
  <c r="JP31" i="21"/>
  <c r="JK31" i="21"/>
  <c r="JJ31" i="21"/>
  <c r="IU31" i="21"/>
  <c r="IT31" i="21"/>
  <c r="IC31" i="21"/>
  <c r="IB31" i="21"/>
  <c r="HW31" i="21"/>
  <c r="HV31" i="21"/>
  <c r="HT31" i="21"/>
  <c r="HS31" i="21"/>
  <c r="HQ31" i="21"/>
  <c r="HP31" i="21"/>
  <c r="HG31" i="21"/>
  <c r="HC31" i="21"/>
  <c r="HB31" i="21"/>
  <c r="HA31" i="21"/>
  <c r="GK31" i="21"/>
  <c r="GJ31" i="21"/>
  <c r="GE31" i="21"/>
  <c r="GD31" i="21"/>
  <c r="FY31" i="21"/>
  <c r="FX31" i="21"/>
  <c r="FM31" i="21"/>
  <c r="FL31" i="21"/>
  <c r="FG31" i="21"/>
  <c r="FF31" i="21"/>
  <c r="EU31" i="21"/>
  <c r="ET31" i="21"/>
  <c r="ET41" i="21" s="1"/>
  <c r="ES31" i="21"/>
  <c r="EM31" i="21"/>
  <c r="EL31" i="21"/>
  <c r="EG31" i="21"/>
  <c r="EF31" i="21"/>
  <c r="EA31" i="21"/>
  <c r="DZ31" i="21"/>
  <c r="DY31" i="21"/>
  <c r="DO31" i="21"/>
  <c r="DN31" i="21"/>
  <c r="DI31" i="21"/>
  <c r="DH31" i="21"/>
  <c r="DH38" i="21" s="1"/>
  <c r="DG31" i="21"/>
  <c r="DF31" i="21"/>
  <c r="DE31" i="21"/>
  <c r="DD31" i="21"/>
  <c r="CU31" i="21"/>
  <c r="CT31" i="21"/>
  <c r="CO31" i="21"/>
  <c r="CK31" i="21"/>
  <c r="CI31" i="21"/>
  <c r="CA31" i="21"/>
  <c r="BW31" i="21"/>
  <c r="BU31" i="21"/>
  <c r="BO31" i="21"/>
  <c r="BK31" i="21"/>
  <c r="BG31" i="21"/>
  <c r="AY31" i="21"/>
  <c r="AU31" i="21"/>
  <c r="AT31" i="21"/>
  <c r="AM31" i="21"/>
  <c r="AI31" i="21"/>
  <c r="AH31" i="21"/>
  <c r="AC31" i="21"/>
  <c r="AA31" i="21"/>
  <c r="U31" i="21"/>
  <c r="Q31" i="21"/>
  <c r="O31" i="21"/>
  <c r="O41" i="21" s="1"/>
  <c r="M31" i="21"/>
  <c r="I31" i="21"/>
  <c r="G31" i="21"/>
  <c r="AAW30" i="21"/>
  <c r="AAV30" i="21"/>
  <c r="AAS30" i="21"/>
  <c r="AAR30" i="21"/>
  <c r="AAK30" i="21"/>
  <c r="AAJ30" i="21"/>
  <c r="ZV30" i="21"/>
  <c r="ZT30" i="21"/>
  <c r="ZS30" i="21"/>
  <c r="ZQ30" i="21"/>
  <c r="ZP30" i="21"/>
  <c r="ZO30" i="21"/>
  <c r="ZM30" i="21"/>
  <c r="YY30" i="21"/>
  <c r="YX30" i="21"/>
  <c r="YW30" i="21"/>
  <c r="ZI30" i="21" s="1"/>
  <c r="YV30" i="21"/>
  <c r="ZB30" i="21" s="1"/>
  <c r="YU30" i="21"/>
  <c r="YH30" i="21"/>
  <c r="YG30" i="21"/>
  <c r="YF30" i="21"/>
  <c r="YE30" i="21"/>
  <c r="YD30" i="21"/>
  <c r="YC30" i="21"/>
  <c r="YB30" i="21"/>
  <c r="YA30" i="21"/>
  <c r="XZ30" i="21"/>
  <c r="XY30" i="21"/>
  <c r="XR30" i="21"/>
  <c r="XQ30" i="21"/>
  <c r="XP30" i="21" s="1"/>
  <c r="XN30" i="21"/>
  <c r="XL30" i="21"/>
  <c r="XI30" i="21"/>
  <c r="XH30" i="21"/>
  <c r="XG30" i="21"/>
  <c r="XC30" i="21"/>
  <c r="XB30" i="21"/>
  <c r="XA30" i="21"/>
  <c r="WW30" i="21"/>
  <c r="WV30" i="21"/>
  <c r="WU30" i="21"/>
  <c r="WO30" i="21"/>
  <c r="WN30" i="21"/>
  <c r="WM30" i="21"/>
  <c r="WI30" i="21"/>
  <c r="WH30" i="21"/>
  <c r="WG30" i="21"/>
  <c r="WD30" i="21"/>
  <c r="WB30" i="21"/>
  <c r="VZ30" i="21"/>
  <c r="VX30" i="21"/>
  <c r="VV30" i="21"/>
  <c r="VT30" i="21"/>
  <c r="VR30" i="21"/>
  <c r="UU30" i="21"/>
  <c r="UT30" i="21"/>
  <c r="US30" i="21"/>
  <c r="UR30" i="21"/>
  <c r="UQ30" i="21"/>
  <c r="UP30" i="21"/>
  <c r="KJ27" i="5" s="1"/>
  <c r="UO30" i="21"/>
  <c r="UM30" i="21"/>
  <c r="UL30" i="21"/>
  <c r="UK30" i="21"/>
  <c r="UJ30" i="21"/>
  <c r="UI30" i="21"/>
  <c r="KM27" i="5" s="1"/>
  <c r="UH30" i="21"/>
  <c r="TS30" i="21"/>
  <c r="TR30" i="21"/>
  <c r="TQ30" i="21"/>
  <c r="TP30" i="21"/>
  <c r="TO30" i="21"/>
  <c r="TN30" i="21"/>
  <c r="TM30" i="21"/>
  <c r="TE30" i="21"/>
  <c r="TD30" i="21"/>
  <c r="TC30" i="21"/>
  <c r="TB30" i="21"/>
  <c r="TA30" i="21"/>
  <c r="SZ30" i="21"/>
  <c r="KH27" i="5" s="1"/>
  <c r="SY30" i="21"/>
  <c r="SU30" i="21"/>
  <c r="ST30" i="21"/>
  <c r="SS30" i="21"/>
  <c r="SN30" i="21"/>
  <c r="SM30" i="21"/>
  <c r="SL30" i="21"/>
  <c r="SK30" i="21"/>
  <c r="SG30" i="21"/>
  <c r="SF30" i="21"/>
  <c r="SE30" i="21"/>
  <c r="SA30" i="21"/>
  <c r="RZ30" i="21"/>
  <c r="RY30" i="21"/>
  <c r="RW30" i="21"/>
  <c r="RV30" i="21"/>
  <c r="RO30" i="21"/>
  <c r="RN30" i="21"/>
  <c r="RM30" i="21"/>
  <c r="RI30" i="21"/>
  <c r="RH30" i="21"/>
  <c r="RG30" i="21"/>
  <c r="RC30" i="21"/>
  <c r="RB30" i="21"/>
  <c r="RA30" i="21"/>
  <c r="QW30" i="21"/>
  <c r="QV30" i="21"/>
  <c r="QU30" i="21"/>
  <c r="QS30" i="21"/>
  <c r="QR30" i="21"/>
  <c r="QQ30" i="21"/>
  <c r="QK30" i="21"/>
  <c r="QJ30" i="21"/>
  <c r="QI30" i="21"/>
  <c r="PZ30" i="21"/>
  <c r="PY30" i="21"/>
  <c r="PT30" i="21"/>
  <c r="PS30" i="21"/>
  <c r="PR30" i="21"/>
  <c r="PQ30" i="21"/>
  <c r="PO30" i="21"/>
  <c r="PN30" i="21"/>
  <c r="PM30" i="21"/>
  <c r="PD30" i="21"/>
  <c r="PC30" i="21"/>
  <c r="PB30" i="21"/>
  <c r="PA30" i="21"/>
  <c r="OV30" i="21"/>
  <c r="OU30" i="21"/>
  <c r="OT30" i="21"/>
  <c r="OS30" i="21"/>
  <c r="ON30" i="21"/>
  <c r="OM30" i="21"/>
  <c r="OL30" i="21"/>
  <c r="OK30" i="21"/>
  <c r="OG30" i="21"/>
  <c r="OF30" i="21"/>
  <c r="OE30" i="21"/>
  <c r="OC30" i="21"/>
  <c r="OB30" i="21"/>
  <c r="NU30" i="21"/>
  <c r="NT30" i="21"/>
  <c r="NS30" i="21"/>
  <c r="NJ30" i="21"/>
  <c r="NI30" i="21"/>
  <c r="NH30" i="21"/>
  <c r="NG30" i="21"/>
  <c r="NF30" i="21"/>
  <c r="NE30" i="21"/>
  <c r="ND30" i="21"/>
  <c r="NC30" i="21"/>
  <c r="MX30" i="21"/>
  <c r="MW30" i="21"/>
  <c r="MV30" i="21"/>
  <c r="MU30" i="21"/>
  <c r="MS30" i="21"/>
  <c r="MR30" i="21"/>
  <c r="MQ30" i="21"/>
  <c r="MH30" i="21"/>
  <c r="MG30" i="21"/>
  <c r="MF30" i="21"/>
  <c r="ME30" i="21"/>
  <c r="LZ30" i="21"/>
  <c r="LY30" i="21"/>
  <c r="LX30" i="21"/>
  <c r="LW30" i="21"/>
  <c r="LS30" i="21"/>
  <c r="LR30" i="21"/>
  <c r="LQ30" i="21"/>
  <c r="LO30" i="21"/>
  <c r="LN30" i="21"/>
  <c r="LE30" i="21"/>
  <c r="LB30" i="21"/>
  <c r="LA30" i="21"/>
  <c r="KU30" i="21"/>
  <c r="KT30" i="21"/>
  <c r="KS30" i="21"/>
  <c r="KR30" i="21"/>
  <c r="KQ30" i="21"/>
  <c r="KM30" i="21"/>
  <c r="KL30" i="21"/>
  <c r="KK30" i="21"/>
  <c r="KI30" i="21"/>
  <c r="KH30" i="21"/>
  <c r="KA30" i="21"/>
  <c r="JZ30" i="21"/>
  <c r="JY30" i="21"/>
  <c r="JU30" i="21"/>
  <c r="JT30" i="21"/>
  <c r="JS30" i="21"/>
  <c r="JO30" i="21"/>
  <c r="JN30" i="21"/>
  <c r="JM30" i="21"/>
  <c r="JI30" i="21"/>
  <c r="JH30" i="21"/>
  <c r="JG30" i="21"/>
  <c r="IS30" i="21"/>
  <c r="IR30" i="21"/>
  <c r="IQ30" i="21"/>
  <c r="IM30" i="21"/>
  <c r="IL30" i="21"/>
  <c r="IK30" i="21"/>
  <c r="II30" i="21"/>
  <c r="IH30" i="21"/>
  <c r="IA30" i="21"/>
  <c r="HZ30" i="21"/>
  <c r="HY30" i="21"/>
  <c r="HU30" i="21"/>
  <c r="HR30" i="21"/>
  <c r="HO30" i="21"/>
  <c r="HN30" i="21"/>
  <c r="HM30" i="21"/>
  <c r="HF30" i="21"/>
  <c r="HE30" i="21"/>
  <c r="HD30" i="21" s="1"/>
  <c r="GZ30" i="21"/>
  <c r="GY30" i="21"/>
  <c r="GX30" i="21"/>
  <c r="GW30" i="21"/>
  <c r="GI30" i="21"/>
  <c r="GH30" i="21"/>
  <c r="AH28" i="16" s="1"/>
  <c r="GG30" i="21"/>
  <c r="GC30" i="21"/>
  <c r="GB30" i="21"/>
  <c r="GA30" i="21"/>
  <c r="FW30" i="21"/>
  <c r="FV30" i="21"/>
  <c r="FU30" i="21"/>
  <c r="FS30" i="21"/>
  <c r="FR30" i="21"/>
  <c r="FK30" i="21"/>
  <c r="FJ30" i="21"/>
  <c r="FI30" i="21"/>
  <c r="FE30" i="21"/>
  <c r="FD30" i="21"/>
  <c r="FC30" i="21"/>
  <c r="EY30" i="21"/>
  <c r="EX30" i="21"/>
  <c r="EW30" i="21"/>
  <c r="ER30" i="21"/>
  <c r="EQ30" i="21"/>
  <c r="EP30" i="21"/>
  <c r="EO30" i="21"/>
  <c r="EK30" i="21"/>
  <c r="EJ30" i="21"/>
  <c r="EI30" i="21"/>
  <c r="EE30" i="21"/>
  <c r="ED30" i="21"/>
  <c r="EC30" i="21"/>
  <c r="DX30" i="21"/>
  <c r="DW30" i="21"/>
  <c r="DV30" i="21"/>
  <c r="DU30" i="21"/>
  <c r="DM30" i="21"/>
  <c r="DS30" i="21" s="1"/>
  <c r="DL30" i="21"/>
  <c r="DK30" i="21"/>
  <c r="DC30" i="21"/>
  <c r="DB30" i="21"/>
  <c r="DA30" i="21"/>
  <c r="CZ30" i="21"/>
  <c r="CY30" i="21"/>
  <c r="CX30" i="21"/>
  <c r="CW30" i="21"/>
  <c r="CS30" i="21"/>
  <c r="CR30" i="21"/>
  <c r="CQ30" i="21"/>
  <c r="CN30" i="21"/>
  <c r="CM30" i="21"/>
  <c r="CJ30" i="21"/>
  <c r="CH30" i="21"/>
  <c r="BZ30" i="21"/>
  <c r="BY30" i="21"/>
  <c r="BV30" i="21"/>
  <c r="BT30" i="21"/>
  <c r="BN30" i="21"/>
  <c r="BM30" i="21"/>
  <c r="BL30" i="21" s="1"/>
  <c r="BJ30" i="21"/>
  <c r="BI30" i="21"/>
  <c r="BF30" i="21"/>
  <c r="BE30" i="21"/>
  <c r="BD30" i="21" s="1"/>
  <c r="BC30" i="21"/>
  <c r="BB30" i="21" s="1"/>
  <c r="AX30" i="21"/>
  <c r="AW30" i="21"/>
  <c r="AS30" i="21"/>
  <c r="AR30" i="21"/>
  <c r="AQ30" i="21"/>
  <c r="AL30" i="21"/>
  <c r="AG30" i="21"/>
  <c r="AK30" i="21" s="1"/>
  <c r="Z30" i="21"/>
  <c r="T30" i="21"/>
  <c r="S30" i="21"/>
  <c r="N30" i="21"/>
  <c r="L30" i="21"/>
  <c r="K30" i="21"/>
  <c r="H30" i="21"/>
  <c r="F30" i="21"/>
  <c r="AAW29" i="21"/>
  <c r="AAV29" i="21"/>
  <c r="AAS29" i="21"/>
  <c r="AAR29" i="21"/>
  <c r="AAK29" i="21"/>
  <c r="AAE29" i="21" s="1"/>
  <c r="AAJ29" i="21"/>
  <c r="AAD29" i="21" s="1"/>
  <c r="ZV29" i="21"/>
  <c r="ZT29" i="21"/>
  <c r="ZS29" i="21"/>
  <c r="ZQ29" i="21"/>
  <c r="ZP29" i="21"/>
  <c r="ZO29" i="21"/>
  <c r="ZM29" i="21"/>
  <c r="YY29" i="21"/>
  <c r="ZK29" i="21" s="1"/>
  <c r="YX29" i="21"/>
  <c r="ZJ29" i="21" s="1"/>
  <c r="YW29" i="21"/>
  <c r="ZI29" i="21" s="1"/>
  <c r="YV29" i="21"/>
  <c r="ZB29" i="21" s="1"/>
  <c r="YU29" i="21"/>
  <c r="YH29" i="21"/>
  <c r="YG29" i="21"/>
  <c r="YF29" i="21"/>
  <c r="YE29" i="21"/>
  <c r="YD29" i="21"/>
  <c r="YC29" i="21"/>
  <c r="YB29" i="21"/>
  <c r="YA29" i="21"/>
  <c r="XZ29" i="21"/>
  <c r="XY29" i="21"/>
  <c r="XR29" i="21"/>
  <c r="XW29" i="21" s="1"/>
  <c r="XQ29" i="21"/>
  <c r="XP29" i="21" s="1"/>
  <c r="XN29" i="21"/>
  <c r="XL29" i="21"/>
  <c r="XI29" i="21"/>
  <c r="XH29" i="21"/>
  <c r="XG29" i="21"/>
  <c r="XC29" i="21"/>
  <c r="XB29" i="21"/>
  <c r="XA29" i="21"/>
  <c r="WW29" i="21"/>
  <c r="WV29" i="21"/>
  <c r="WU29" i="21"/>
  <c r="WO29" i="21"/>
  <c r="WN29" i="21"/>
  <c r="WM29" i="21"/>
  <c r="WI29" i="21"/>
  <c r="WH29" i="21"/>
  <c r="WG29" i="21"/>
  <c r="WD29" i="21"/>
  <c r="WB29" i="21"/>
  <c r="VZ29" i="21"/>
  <c r="VX29" i="21"/>
  <c r="VV29" i="21"/>
  <c r="VT29" i="21"/>
  <c r="VR29" i="21"/>
  <c r="UU29" i="21"/>
  <c r="UT29" i="21"/>
  <c r="US29" i="21"/>
  <c r="UR29" i="21"/>
  <c r="UQ29" i="21"/>
  <c r="UP29" i="21"/>
  <c r="KJ26" i="5" s="1"/>
  <c r="UO29" i="21"/>
  <c r="UM29" i="21"/>
  <c r="UL29" i="21"/>
  <c r="UK29" i="21"/>
  <c r="UJ29" i="21"/>
  <c r="UI29" i="21"/>
  <c r="KM26" i="5" s="1"/>
  <c r="UH29" i="21"/>
  <c r="TS29" i="21"/>
  <c r="TR29" i="21"/>
  <c r="TQ29" i="21"/>
  <c r="TP29" i="21"/>
  <c r="TO29" i="21"/>
  <c r="TN29" i="21"/>
  <c r="TM29" i="21"/>
  <c r="TE29" i="21"/>
  <c r="TD29" i="21"/>
  <c r="TC29" i="21"/>
  <c r="TB29" i="21"/>
  <c r="TA29" i="21"/>
  <c r="SZ29" i="21"/>
  <c r="KH26" i="5" s="1"/>
  <c r="SY29" i="21"/>
  <c r="SU29" i="21"/>
  <c r="ST29" i="21"/>
  <c r="SS29" i="21"/>
  <c r="SN29" i="21"/>
  <c r="SM29" i="21"/>
  <c r="SL29" i="21"/>
  <c r="SK29" i="21"/>
  <c r="SG29" i="21"/>
  <c r="SF29" i="21"/>
  <c r="SE29" i="21"/>
  <c r="SA29" i="21"/>
  <c r="RZ29" i="21"/>
  <c r="RY29" i="21"/>
  <c r="RW29" i="21"/>
  <c r="RV29" i="21"/>
  <c r="RO29" i="21"/>
  <c r="RN29" i="21"/>
  <c r="RM29" i="21"/>
  <c r="RI29" i="21"/>
  <c r="RH29" i="21"/>
  <c r="RG29" i="21"/>
  <c r="RC29" i="21"/>
  <c r="RB29" i="21"/>
  <c r="RA29" i="21"/>
  <c r="QW29" i="21"/>
  <c r="QV29" i="21"/>
  <c r="QU29" i="21"/>
  <c r="QS29" i="21"/>
  <c r="QR29" i="21"/>
  <c r="QK29" i="21"/>
  <c r="QJ29" i="21"/>
  <c r="QI29" i="21"/>
  <c r="PZ29" i="21"/>
  <c r="PY29" i="21"/>
  <c r="PT29" i="21"/>
  <c r="PS29" i="21"/>
  <c r="PR29" i="21"/>
  <c r="PQ29" i="21"/>
  <c r="PO29" i="21"/>
  <c r="PN29" i="21"/>
  <c r="PM29" i="21"/>
  <c r="PD29" i="21"/>
  <c r="PC29" i="21"/>
  <c r="PB29" i="21"/>
  <c r="PA29" i="21"/>
  <c r="OV29" i="21"/>
  <c r="OU29" i="21"/>
  <c r="OT29" i="21"/>
  <c r="OS29" i="21"/>
  <c r="ON29" i="21"/>
  <c r="OM29" i="21"/>
  <c r="OL29" i="21"/>
  <c r="OK29" i="21"/>
  <c r="OG29" i="21"/>
  <c r="OF29" i="21"/>
  <c r="OE29" i="21"/>
  <c r="OC29" i="21"/>
  <c r="OB29" i="21"/>
  <c r="NU29" i="21"/>
  <c r="NT29" i="21"/>
  <c r="NS29" i="21"/>
  <c r="NI29" i="21"/>
  <c r="NQ29" i="21" s="1"/>
  <c r="NH29" i="21"/>
  <c r="NG29" i="21"/>
  <c r="NF29" i="21"/>
  <c r="NE29" i="21"/>
  <c r="ND29" i="21"/>
  <c r="NC29" i="21"/>
  <c r="MX29" i="21"/>
  <c r="MW29" i="21"/>
  <c r="MV29" i="21"/>
  <c r="MU29" i="21"/>
  <c r="MS29" i="21"/>
  <c r="MR29" i="21"/>
  <c r="MQ29" i="21"/>
  <c r="MH29" i="21"/>
  <c r="MG29" i="21"/>
  <c r="MF29" i="21"/>
  <c r="ME29" i="21"/>
  <c r="LZ29" i="21"/>
  <c r="LY29" i="21"/>
  <c r="LX29" i="21"/>
  <c r="LW29" i="21"/>
  <c r="LS29" i="21"/>
  <c r="LR29" i="21"/>
  <c r="LQ29" i="21"/>
  <c r="LO29" i="21"/>
  <c r="LN29" i="21"/>
  <c r="LM29" i="21"/>
  <c r="LE29" i="21"/>
  <c r="LB29" i="21"/>
  <c r="LA29" i="21"/>
  <c r="KU29" i="21"/>
  <c r="KT29" i="21"/>
  <c r="KS29" i="21"/>
  <c r="KR29" i="21"/>
  <c r="KQ29" i="21"/>
  <c r="KM29" i="21"/>
  <c r="KL29" i="21"/>
  <c r="KK29" i="21"/>
  <c r="KI29" i="21"/>
  <c r="KH29" i="21"/>
  <c r="KA29" i="21"/>
  <c r="JZ29" i="21"/>
  <c r="JY29" i="21"/>
  <c r="JU29" i="21"/>
  <c r="JT29" i="21"/>
  <c r="JS29" i="21"/>
  <c r="JO29" i="21"/>
  <c r="JN29" i="21"/>
  <c r="JM29" i="21"/>
  <c r="JI29" i="21"/>
  <c r="JH29" i="21"/>
  <c r="JG29" i="21"/>
  <c r="IS29" i="21"/>
  <c r="IR29" i="21"/>
  <c r="IQ29" i="21"/>
  <c r="IM29" i="21"/>
  <c r="IL29" i="21"/>
  <c r="IK29" i="21"/>
  <c r="II29" i="21"/>
  <c r="IH29" i="21"/>
  <c r="IA29" i="21"/>
  <c r="HZ29" i="21"/>
  <c r="HY29" i="21"/>
  <c r="HU29" i="21"/>
  <c r="HR29" i="21"/>
  <c r="HO29" i="21"/>
  <c r="HN29" i="21"/>
  <c r="HM29" i="21"/>
  <c r="HF29" i="21"/>
  <c r="HK29" i="21" s="1"/>
  <c r="HE29" i="21"/>
  <c r="HD29" i="21" s="1"/>
  <c r="HJ29" i="21" s="1"/>
  <c r="HH29" i="21" s="1"/>
  <c r="GZ29" i="21"/>
  <c r="GY29" i="21"/>
  <c r="GX29" i="21"/>
  <c r="GW29" i="21"/>
  <c r="GI29" i="21"/>
  <c r="GH29" i="21"/>
  <c r="AH27" i="16" s="1"/>
  <c r="GG29" i="21"/>
  <c r="GC29" i="21"/>
  <c r="GB29" i="21"/>
  <c r="GA29" i="21"/>
  <c r="FW29" i="21"/>
  <c r="FV29" i="21"/>
  <c r="FU29" i="21"/>
  <c r="FS29" i="21"/>
  <c r="FR29" i="21"/>
  <c r="FK29" i="21"/>
  <c r="FJ29" i="21"/>
  <c r="FI29" i="21"/>
  <c r="FE29" i="21"/>
  <c r="FD29" i="21"/>
  <c r="FC29" i="21"/>
  <c r="EY29" i="21"/>
  <c r="EX29" i="21"/>
  <c r="EW29" i="21"/>
  <c r="ER29" i="21"/>
  <c r="EQ29" i="21"/>
  <c r="EP29" i="21"/>
  <c r="EO29" i="21"/>
  <c r="EK29" i="21"/>
  <c r="EJ29" i="21"/>
  <c r="EI29" i="21"/>
  <c r="EE29" i="21"/>
  <c r="ED29" i="21"/>
  <c r="EC29" i="21"/>
  <c r="DX29" i="21"/>
  <c r="DW29" i="21"/>
  <c r="DV29" i="21"/>
  <c r="DU29" i="21"/>
  <c r="DM29" i="21"/>
  <c r="DS29" i="21" s="1"/>
  <c r="DL29" i="21"/>
  <c r="DK29" i="21"/>
  <c r="DC29" i="21"/>
  <c r="DB29" i="21"/>
  <c r="DA29" i="21"/>
  <c r="CZ29" i="21"/>
  <c r="CY29" i="21"/>
  <c r="CX29" i="21"/>
  <c r="CW29" i="21"/>
  <c r="CS29" i="21"/>
  <c r="CR29" i="21"/>
  <c r="CQ29" i="21"/>
  <c r="CN29" i="21"/>
  <c r="CM29" i="21"/>
  <c r="CJ29" i="21"/>
  <c r="CH29" i="21"/>
  <c r="BZ29" i="21"/>
  <c r="BY29" i="21"/>
  <c r="BV29" i="21"/>
  <c r="BT29" i="21"/>
  <c r="BN29" i="21"/>
  <c r="BM29" i="21"/>
  <c r="BL29" i="21" s="1"/>
  <c r="BJ29" i="21"/>
  <c r="BI29" i="21"/>
  <c r="BF29" i="21"/>
  <c r="BE29" i="21"/>
  <c r="BC29" i="21"/>
  <c r="BB29" i="21" s="1"/>
  <c r="AX29" i="21"/>
  <c r="AW29" i="21"/>
  <c r="AV29" i="21" s="1"/>
  <c r="AS29" i="21"/>
  <c r="AR29" i="21"/>
  <c r="AQ29" i="21"/>
  <c r="AL29" i="21"/>
  <c r="AG29" i="21"/>
  <c r="AK29" i="21" s="1"/>
  <c r="Z29" i="21"/>
  <c r="T29" i="21"/>
  <c r="S29" i="21"/>
  <c r="P29" i="21"/>
  <c r="N29" i="21"/>
  <c r="L29" i="21"/>
  <c r="K29" i="21"/>
  <c r="H29" i="21"/>
  <c r="F29" i="21"/>
  <c r="AAW28" i="21"/>
  <c r="AAV28" i="21"/>
  <c r="AAS28" i="21"/>
  <c r="AAR28" i="21"/>
  <c r="AAK28" i="21"/>
  <c r="AAJ28" i="21"/>
  <c r="ZV28" i="21"/>
  <c r="ZT28" i="21"/>
  <c r="ZS28" i="21"/>
  <c r="ZQ28" i="21"/>
  <c r="ZP28" i="21"/>
  <c r="ZO28" i="21"/>
  <c r="ZM28" i="21"/>
  <c r="YY28" i="21"/>
  <c r="ZK28" i="21" s="1"/>
  <c r="YX28" i="21"/>
  <c r="YW28" i="21"/>
  <c r="ZI28" i="21" s="1"/>
  <c r="YV28" i="21"/>
  <c r="YU28" i="21"/>
  <c r="YH28" i="21"/>
  <c r="YG28" i="21"/>
  <c r="YF28" i="21"/>
  <c r="YE28" i="21"/>
  <c r="YD28" i="21"/>
  <c r="YC28" i="21"/>
  <c r="YB28" i="21"/>
  <c r="YA28" i="21"/>
  <c r="XZ28" i="21"/>
  <c r="XY28" i="21"/>
  <c r="XR28" i="21"/>
  <c r="XQ28" i="21"/>
  <c r="XP28" i="21" s="1"/>
  <c r="XN28" i="21"/>
  <c r="XL28" i="21"/>
  <c r="XI28" i="21"/>
  <c r="XH28" i="21"/>
  <c r="XG28" i="21"/>
  <c r="XC28" i="21"/>
  <c r="XB28" i="21"/>
  <c r="XA28" i="21"/>
  <c r="WW28" i="21"/>
  <c r="WV28" i="21"/>
  <c r="WU28" i="21"/>
  <c r="WO28" i="21"/>
  <c r="WN28" i="21"/>
  <c r="WM28" i="21"/>
  <c r="WI28" i="21"/>
  <c r="WH28" i="21"/>
  <c r="WG28" i="21"/>
  <c r="WD28" i="21"/>
  <c r="WB28" i="21"/>
  <c r="VZ28" i="21"/>
  <c r="VX28" i="21"/>
  <c r="VV28" i="21"/>
  <c r="VT28" i="21"/>
  <c r="VR28" i="21"/>
  <c r="UU28" i="21"/>
  <c r="UT28" i="21"/>
  <c r="US28" i="21"/>
  <c r="UR28" i="21"/>
  <c r="UQ28" i="21"/>
  <c r="UP28" i="21"/>
  <c r="KJ25" i="5" s="1"/>
  <c r="UO28" i="21"/>
  <c r="UM28" i="21"/>
  <c r="UL28" i="21"/>
  <c r="UK28" i="21"/>
  <c r="UJ28" i="21"/>
  <c r="UI28" i="21"/>
  <c r="KM25" i="5" s="1"/>
  <c r="UH28" i="21"/>
  <c r="TS28" i="21"/>
  <c r="TR28" i="21"/>
  <c r="TQ28" i="21"/>
  <c r="TP28" i="21"/>
  <c r="TO28" i="21"/>
  <c r="TN28" i="21"/>
  <c r="TM28" i="21"/>
  <c r="TE28" i="21"/>
  <c r="TD28" i="21"/>
  <c r="TC28" i="21"/>
  <c r="TB28" i="21"/>
  <c r="TA28" i="21"/>
  <c r="SZ28" i="21"/>
  <c r="KH25" i="5" s="1"/>
  <c r="SY28" i="21"/>
  <c r="SU28" i="21"/>
  <c r="ST28" i="21"/>
  <c r="SS28" i="21"/>
  <c r="SN28" i="21"/>
  <c r="SM28" i="21"/>
  <c r="SL28" i="21"/>
  <c r="SK28" i="21"/>
  <c r="SG28" i="21"/>
  <c r="SF28" i="21"/>
  <c r="SE28" i="21"/>
  <c r="SA28" i="21"/>
  <c r="RZ28" i="21"/>
  <c r="RY28" i="21"/>
  <c r="RW28" i="21"/>
  <c r="RV28" i="21"/>
  <c r="RU28" i="21" s="1"/>
  <c r="RO28" i="21"/>
  <c r="RN28" i="21"/>
  <c r="RM28" i="21"/>
  <c r="RI28" i="21"/>
  <c r="RH28" i="21"/>
  <c r="RG28" i="21"/>
  <c r="RC28" i="21"/>
  <c r="RB28" i="21"/>
  <c r="RA28" i="21"/>
  <c r="QW28" i="21"/>
  <c r="QV28" i="21"/>
  <c r="QU28" i="21"/>
  <c r="QS28" i="21"/>
  <c r="QR28" i="21"/>
  <c r="QK28" i="21"/>
  <c r="QJ28" i="21"/>
  <c r="QI28" i="21"/>
  <c r="PZ28" i="21"/>
  <c r="PY28" i="21"/>
  <c r="PT28" i="21"/>
  <c r="PS28" i="21"/>
  <c r="PR28" i="21"/>
  <c r="PQ28" i="21"/>
  <c r="PO28" i="21"/>
  <c r="PN28" i="21"/>
  <c r="PM28" i="21"/>
  <c r="PD28" i="21"/>
  <c r="PC28" i="21"/>
  <c r="PB28" i="21"/>
  <c r="PA28" i="21"/>
  <c r="OV28" i="21"/>
  <c r="OU28" i="21"/>
  <c r="OT28" i="21"/>
  <c r="OS28" i="21"/>
  <c r="ON28" i="21"/>
  <c r="OM28" i="21"/>
  <c r="OL28" i="21"/>
  <c r="OK28" i="21"/>
  <c r="OG28" i="21"/>
  <c r="OF28" i="21"/>
  <c r="OE28" i="21"/>
  <c r="OC28" i="21"/>
  <c r="OB28" i="21"/>
  <c r="NU28" i="21"/>
  <c r="NT28" i="21"/>
  <c r="NS28" i="21"/>
  <c r="NI28" i="21"/>
  <c r="NQ28" i="21" s="1"/>
  <c r="NH28" i="21"/>
  <c r="NG28" i="21"/>
  <c r="NF28" i="21"/>
  <c r="NE28" i="21"/>
  <c r="ND28" i="21"/>
  <c r="NC28" i="21"/>
  <c r="MX28" i="21"/>
  <c r="MW28" i="21"/>
  <c r="MV28" i="21"/>
  <c r="MU28" i="21"/>
  <c r="MS28" i="21"/>
  <c r="MR28" i="21"/>
  <c r="MQ28" i="21"/>
  <c r="MH28" i="21"/>
  <c r="MG28" i="21"/>
  <c r="MF28" i="21"/>
  <c r="ME28" i="21"/>
  <c r="LZ28" i="21"/>
  <c r="LY28" i="21"/>
  <c r="LX28" i="21"/>
  <c r="LW28" i="21"/>
  <c r="LS28" i="21"/>
  <c r="LR28" i="21"/>
  <c r="LQ28" i="21"/>
  <c r="LO28" i="21"/>
  <c r="LM28" i="21" s="1"/>
  <c r="LN28" i="21"/>
  <c r="LE28" i="21"/>
  <c r="LB28" i="21"/>
  <c r="LA28" i="21"/>
  <c r="KU28" i="21"/>
  <c r="KT28" i="21"/>
  <c r="KS28" i="21"/>
  <c r="KR28" i="21"/>
  <c r="KQ28" i="21"/>
  <c r="KM28" i="21"/>
  <c r="KL28" i="21"/>
  <c r="KK28" i="21"/>
  <c r="KI28" i="21"/>
  <c r="KH28" i="21"/>
  <c r="KA28" i="21"/>
  <c r="JZ28" i="21"/>
  <c r="JY28" i="21"/>
  <c r="JU28" i="21"/>
  <c r="JT28" i="21"/>
  <c r="JS28" i="21"/>
  <c r="JO28" i="21"/>
  <c r="JN28" i="21"/>
  <c r="JM28" i="21"/>
  <c r="JI28" i="21"/>
  <c r="JH28" i="21"/>
  <c r="JG28" i="21"/>
  <c r="IS28" i="21"/>
  <c r="IR28" i="21"/>
  <c r="IQ28" i="21"/>
  <c r="IM28" i="21"/>
  <c r="IL28" i="21"/>
  <c r="IK28" i="21"/>
  <c r="II28" i="21"/>
  <c r="IH28" i="21"/>
  <c r="IA28" i="21"/>
  <c r="HZ28" i="21"/>
  <c r="HY28" i="21"/>
  <c r="HU28" i="21"/>
  <c r="HR28" i="21"/>
  <c r="HO28" i="21"/>
  <c r="HN28" i="21"/>
  <c r="HM28" i="21"/>
  <c r="HF28" i="21"/>
  <c r="HE28" i="21"/>
  <c r="HD28" i="21" s="1"/>
  <c r="GZ28" i="21"/>
  <c r="GY28" i="21"/>
  <c r="GX28" i="21"/>
  <c r="GW28" i="21"/>
  <c r="GI28" i="21"/>
  <c r="GH28" i="21"/>
  <c r="AH26" i="16" s="1"/>
  <c r="GG28" i="21"/>
  <c r="GC28" i="21"/>
  <c r="GB28" i="21"/>
  <c r="GA28" i="21"/>
  <c r="FW28" i="21"/>
  <c r="FV28" i="21"/>
  <c r="FU28" i="21"/>
  <c r="FS28" i="21"/>
  <c r="FR28" i="21"/>
  <c r="FK28" i="21"/>
  <c r="FJ28" i="21"/>
  <c r="FI28" i="21"/>
  <c r="FE28" i="21"/>
  <c r="FD28" i="21"/>
  <c r="FC28" i="21"/>
  <c r="EY28" i="21"/>
  <c r="EX28" i="21"/>
  <c r="EW28" i="21"/>
  <c r="ER28" i="21"/>
  <c r="EQ28" i="21"/>
  <c r="EP28" i="21"/>
  <c r="EO28" i="21"/>
  <c r="EK28" i="21"/>
  <c r="EJ28" i="21"/>
  <c r="EI28" i="21"/>
  <c r="EE28" i="21"/>
  <c r="ED28" i="21"/>
  <c r="EC28" i="21"/>
  <c r="DX28" i="21"/>
  <c r="DW28" i="21"/>
  <c r="DV28" i="21"/>
  <c r="DU28" i="21"/>
  <c r="DM28" i="21"/>
  <c r="DS28" i="21" s="1"/>
  <c r="DQ28" i="21" s="1"/>
  <c r="DL28" i="21"/>
  <c r="DK28" i="21"/>
  <c r="DC28" i="21"/>
  <c r="DB28" i="21"/>
  <c r="DA28" i="21"/>
  <c r="CZ28" i="21"/>
  <c r="CY28" i="21"/>
  <c r="CX28" i="21"/>
  <c r="CW28" i="21"/>
  <c r="CS28" i="21"/>
  <c r="CR28" i="21"/>
  <c r="CQ28" i="21"/>
  <c r="CN28" i="21"/>
  <c r="CM28" i="21"/>
  <c r="CJ28" i="21"/>
  <c r="CH28" i="21"/>
  <c r="BZ28" i="21"/>
  <c r="BY28" i="21"/>
  <c r="BV28" i="21"/>
  <c r="BT28" i="21"/>
  <c r="BN28" i="21"/>
  <c r="BM28" i="21"/>
  <c r="BL28" i="21" s="1"/>
  <c r="BJ28" i="21"/>
  <c r="BI28" i="21"/>
  <c r="BF28" i="21"/>
  <c r="BE28" i="21"/>
  <c r="BD28" i="21" s="1"/>
  <c r="BC28" i="21"/>
  <c r="BB28" i="21" s="1"/>
  <c r="AX28" i="21"/>
  <c r="AW28" i="21"/>
  <c r="AS28" i="21"/>
  <c r="AR28" i="21"/>
  <c r="AQ28" i="21"/>
  <c r="AL28" i="21"/>
  <c r="AG28" i="21"/>
  <c r="AK28" i="21" s="1"/>
  <c r="Z28" i="21"/>
  <c r="T28" i="21"/>
  <c r="S28" i="21"/>
  <c r="L28" i="21"/>
  <c r="K28" i="21"/>
  <c r="H28" i="21"/>
  <c r="F28" i="21"/>
  <c r="AAW27" i="21"/>
  <c r="AAV27" i="21"/>
  <c r="AAS27" i="21"/>
  <c r="AAR27" i="21"/>
  <c r="AAK27" i="21"/>
  <c r="AAJ27" i="21"/>
  <c r="AAD27" i="21" s="1"/>
  <c r="ZV27" i="21"/>
  <c r="ZT27" i="21"/>
  <c r="ZS27" i="21"/>
  <c r="ZQ27" i="21"/>
  <c r="ZP27" i="21"/>
  <c r="ZO27" i="21"/>
  <c r="ZM27" i="21"/>
  <c r="YY27" i="21"/>
  <c r="YX27" i="21"/>
  <c r="YW27" i="21"/>
  <c r="ZI27" i="21" s="1"/>
  <c r="YV27" i="21"/>
  <c r="ZB27" i="21" s="1"/>
  <c r="YU27" i="21"/>
  <c r="YH27" i="21"/>
  <c r="YG27" i="21"/>
  <c r="YF27" i="21"/>
  <c r="YE27" i="21"/>
  <c r="YD27" i="21"/>
  <c r="YC27" i="21"/>
  <c r="YB27" i="21"/>
  <c r="YA27" i="21"/>
  <c r="XZ27" i="21"/>
  <c r="XY27" i="21"/>
  <c r="XR27" i="21"/>
  <c r="XW27" i="21" s="1"/>
  <c r="XQ27" i="21"/>
  <c r="XP27" i="21" s="1"/>
  <c r="XN27" i="21"/>
  <c r="XL27" i="21"/>
  <c r="XI27" i="21"/>
  <c r="XH27" i="21"/>
  <c r="XG27" i="21"/>
  <c r="XC27" i="21"/>
  <c r="XB27" i="21"/>
  <c r="XA27" i="21"/>
  <c r="WW27" i="21"/>
  <c r="WV27" i="21"/>
  <c r="WU27" i="21"/>
  <c r="WO27" i="21"/>
  <c r="WN27" i="21"/>
  <c r="WM27" i="21"/>
  <c r="WI27" i="21"/>
  <c r="WH27" i="21"/>
  <c r="WG27" i="21"/>
  <c r="WD27" i="21"/>
  <c r="WB27" i="21"/>
  <c r="VZ27" i="21"/>
  <c r="VX27" i="21"/>
  <c r="VV27" i="21"/>
  <c r="VT27" i="21"/>
  <c r="VR27" i="21"/>
  <c r="UU27" i="21"/>
  <c r="UT27" i="21"/>
  <c r="US27" i="21"/>
  <c r="UR27" i="21"/>
  <c r="UQ27" i="21"/>
  <c r="UP27" i="21"/>
  <c r="KJ24" i="5" s="1"/>
  <c r="UO27" i="21"/>
  <c r="UM27" i="21"/>
  <c r="UL27" i="21"/>
  <c r="UK27" i="21"/>
  <c r="UJ27" i="21"/>
  <c r="UI27" i="21"/>
  <c r="KM24" i="5" s="1"/>
  <c r="UH27" i="21"/>
  <c r="TS27" i="21"/>
  <c r="TR27" i="21"/>
  <c r="TQ27" i="21"/>
  <c r="TP27" i="21"/>
  <c r="TO27" i="21"/>
  <c r="TN27" i="21"/>
  <c r="TM27" i="21"/>
  <c r="TE27" i="21"/>
  <c r="TD27" i="21"/>
  <c r="TC27" i="21"/>
  <c r="TB27" i="21"/>
  <c r="TA27" i="21"/>
  <c r="SZ27" i="21"/>
  <c r="KH24" i="5" s="1"/>
  <c r="SY27" i="21"/>
  <c r="SU27" i="21"/>
  <c r="ST27" i="21"/>
  <c r="SS27" i="21"/>
  <c r="SN27" i="21"/>
  <c r="SM27" i="21"/>
  <c r="SL27" i="21"/>
  <c r="SK27" i="21"/>
  <c r="SG27" i="21"/>
  <c r="SF27" i="21"/>
  <c r="SE27" i="21"/>
  <c r="SA27" i="21"/>
  <c r="RZ27" i="21"/>
  <c r="RY27" i="21"/>
  <c r="RW27" i="21"/>
  <c r="RV27" i="21"/>
  <c r="RU27" i="21" s="1"/>
  <c r="RO27" i="21"/>
  <c r="RN27" i="21"/>
  <c r="RM27" i="21"/>
  <c r="RI27" i="21"/>
  <c r="RH27" i="21"/>
  <c r="RG27" i="21"/>
  <c r="RC27" i="21"/>
  <c r="RB27" i="21"/>
  <c r="RA27" i="21"/>
  <c r="QW27" i="21"/>
  <c r="QV27" i="21"/>
  <c r="QU27" i="21"/>
  <c r="QS27" i="21"/>
  <c r="QR27" i="21"/>
  <c r="QK27" i="21"/>
  <c r="QJ27" i="21"/>
  <c r="QI27" i="21"/>
  <c r="PZ27" i="21"/>
  <c r="PY27" i="21"/>
  <c r="PT27" i="21"/>
  <c r="PS27" i="21"/>
  <c r="PR27" i="21"/>
  <c r="PQ27" i="21"/>
  <c r="PO27" i="21"/>
  <c r="PN27" i="21"/>
  <c r="PM27" i="21"/>
  <c r="PD27" i="21"/>
  <c r="PC27" i="21"/>
  <c r="PB27" i="21"/>
  <c r="PA27" i="21"/>
  <c r="OV27" i="21"/>
  <c r="OU27" i="21"/>
  <c r="OT27" i="21"/>
  <c r="OS27" i="21"/>
  <c r="ON27" i="21"/>
  <c r="OM27" i="21"/>
  <c r="OL27" i="21"/>
  <c r="OK27" i="21"/>
  <c r="OG27" i="21"/>
  <c r="OF27" i="21"/>
  <c r="OE27" i="21"/>
  <c r="OC27" i="21"/>
  <c r="OB27" i="21"/>
  <c r="NU27" i="21"/>
  <c r="NT27" i="21"/>
  <c r="NS27" i="21"/>
  <c r="NI27" i="21"/>
  <c r="NQ27" i="21" s="1"/>
  <c r="NH27" i="21"/>
  <c r="NG27" i="21"/>
  <c r="NF27" i="21"/>
  <c r="NE27" i="21"/>
  <c r="ND27" i="21"/>
  <c r="NC27" i="21"/>
  <c r="MX27" i="21"/>
  <c r="MW27" i="21"/>
  <c r="MV27" i="21"/>
  <c r="MU27" i="21"/>
  <c r="MS27" i="21"/>
  <c r="MR27" i="21"/>
  <c r="MQ27" i="21"/>
  <c r="MH27" i="21"/>
  <c r="MG27" i="21"/>
  <c r="MF27" i="21"/>
  <c r="ME27" i="21"/>
  <c r="LZ27" i="21"/>
  <c r="LY27" i="21"/>
  <c r="LX27" i="21"/>
  <c r="LW27" i="21"/>
  <c r="LS27" i="21"/>
  <c r="LR27" i="21"/>
  <c r="LQ27" i="21"/>
  <c r="LO27" i="21"/>
  <c r="LN27" i="21"/>
  <c r="LE27" i="21"/>
  <c r="LB27" i="21"/>
  <c r="LA27" i="21"/>
  <c r="KU27" i="21"/>
  <c r="KT27" i="21"/>
  <c r="KS27" i="21"/>
  <c r="KR27" i="21"/>
  <c r="KQ27" i="21"/>
  <c r="KM27" i="21"/>
  <c r="KL27" i="21"/>
  <c r="KK27" i="21"/>
  <c r="KI27" i="21"/>
  <c r="KH27" i="21"/>
  <c r="KA27" i="21"/>
  <c r="JZ27" i="21"/>
  <c r="JY27" i="21"/>
  <c r="JU27" i="21"/>
  <c r="JT27" i="21"/>
  <c r="JS27" i="21"/>
  <c r="JO27" i="21"/>
  <c r="JN27" i="21"/>
  <c r="JM27" i="21"/>
  <c r="JI27" i="21"/>
  <c r="JH27" i="21"/>
  <c r="JG27" i="21"/>
  <c r="IS27" i="21"/>
  <c r="IR27" i="21"/>
  <c r="IQ27" i="21"/>
  <c r="IM27" i="21"/>
  <c r="IL27" i="21"/>
  <c r="IK27" i="21"/>
  <c r="II27" i="21"/>
  <c r="IH27" i="21"/>
  <c r="IA27" i="21"/>
  <c r="HZ27" i="21"/>
  <c r="HY27" i="21"/>
  <c r="HU27" i="21"/>
  <c r="HR27" i="21"/>
  <c r="HO27" i="21"/>
  <c r="HN27" i="21"/>
  <c r="HM27" i="21"/>
  <c r="HF27" i="21"/>
  <c r="HK27" i="21" s="1"/>
  <c r="HI27" i="21" s="1"/>
  <c r="HE27" i="21"/>
  <c r="HD27" i="21" s="1"/>
  <c r="GZ27" i="21"/>
  <c r="GY27" i="21"/>
  <c r="GX27" i="21"/>
  <c r="GW27" i="21"/>
  <c r="GI27" i="21"/>
  <c r="GH27" i="21"/>
  <c r="AH25" i="16" s="1"/>
  <c r="GG27" i="21"/>
  <c r="GC27" i="21"/>
  <c r="GB27" i="21"/>
  <c r="GA27" i="21"/>
  <c r="FW27" i="21"/>
  <c r="FV27" i="21"/>
  <c r="FU27" i="21"/>
  <c r="FS27" i="21"/>
  <c r="FR27" i="21"/>
  <c r="FK27" i="21"/>
  <c r="FJ27" i="21"/>
  <c r="FI27" i="21"/>
  <c r="FE27" i="21"/>
  <c r="FD27" i="21"/>
  <c r="FC27" i="21"/>
  <c r="EY27" i="21"/>
  <c r="EX27" i="21"/>
  <c r="EW27" i="21"/>
  <c r="ER27" i="21"/>
  <c r="EQ27" i="21"/>
  <c r="EP27" i="21"/>
  <c r="EO27" i="21"/>
  <c r="EK27" i="21"/>
  <c r="EJ27" i="21"/>
  <c r="EI27" i="21"/>
  <c r="EE27" i="21"/>
  <c r="ED27" i="21"/>
  <c r="EC27" i="21"/>
  <c r="DX27" i="21"/>
  <c r="DW27" i="21"/>
  <c r="DV27" i="21"/>
  <c r="DU27" i="21"/>
  <c r="DM27" i="21"/>
  <c r="DL27" i="21"/>
  <c r="DK27" i="21"/>
  <c r="DC27" i="21"/>
  <c r="DB27" i="21"/>
  <c r="DA27" i="21"/>
  <c r="CZ27" i="21"/>
  <c r="CY27" i="21"/>
  <c r="CX27" i="21"/>
  <c r="CW27" i="21"/>
  <c r="CS27" i="21"/>
  <c r="CR27" i="21"/>
  <c r="CQ27" i="21"/>
  <c r="CN27" i="21"/>
  <c r="CM27" i="21"/>
  <c r="CJ27" i="21"/>
  <c r="CH27" i="21"/>
  <c r="BZ27" i="21"/>
  <c r="BY27" i="21"/>
  <c r="BV27" i="21"/>
  <c r="BT27" i="21"/>
  <c r="BN27" i="21"/>
  <c r="BS27" i="21" s="1"/>
  <c r="BM27" i="21"/>
  <c r="BL27" i="21" s="1"/>
  <c r="BJ27" i="21"/>
  <c r="BI27" i="21"/>
  <c r="BF27" i="21"/>
  <c r="BE27" i="21"/>
  <c r="BD27" i="21" s="1"/>
  <c r="BC27" i="21"/>
  <c r="BB27" i="21" s="1"/>
  <c r="AX27" i="21"/>
  <c r="AW27" i="21"/>
  <c r="AV27" i="21" s="1"/>
  <c r="AS27" i="21"/>
  <c r="AR27" i="21"/>
  <c r="AQ27" i="21"/>
  <c r="AL27" i="21"/>
  <c r="AG27" i="21"/>
  <c r="AK27" i="21" s="1"/>
  <c r="Z27" i="21"/>
  <c r="T27" i="21"/>
  <c r="S27" i="21"/>
  <c r="N27" i="21"/>
  <c r="L27" i="21"/>
  <c r="K27" i="21"/>
  <c r="H27" i="21"/>
  <c r="F27" i="21"/>
  <c r="AAW16" i="21"/>
  <c r="AAV16" i="21"/>
  <c r="AAS16" i="21"/>
  <c r="AAR16" i="21"/>
  <c r="AAK16" i="21"/>
  <c r="AAJ16" i="21"/>
  <c r="ZV16" i="21"/>
  <c r="ZT16" i="21"/>
  <c r="ZS16" i="21"/>
  <c r="ZQ16" i="21"/>
  <c r="ZP16" i="21"/>
  <c r="ZO16" i="21"/>
  <c r="ZM16" i="21"/>
  <c r="YY16" i="21"/>
  <c r="ZK16" i="21" s="1"/>
  <c r="YX16" i="21"/>
  <c r="YW16" i="21"/>
  <c r="ZI16" i="21" s="1"/>
  <c r="YV16" i="21"/>
  <c r="ZB16" i="21" s="1"/>
  <c r="YU16" i="21"/>
  <c r="YH16" i="21"/>
  <c r="YG16" i="21"/>
  <c r="YF16" i="21"/>
  <c r="YE16" i="21"/>
  <c r="YD16" i="21"/>
  <c r="YC16" i="21"/>
  <c r="YB16" i="21"/>
  <c r="YA16" i="21"/>
  <c r="XZ16" i="21"/>
  <c r="XY16" i="21"/>
  <c r="XR16" i="21"/>
  <c r="XW16" i="21" s="1"/>
  <c r="XQ16" i="21"/>
  <c r="XP16" i="21" s="1"/>
  <c r="XN16" i="21"/>
  <c r="XL16" i="21"/>
  <c r="XI16" i="21"/>
  <c r="XH16" i="21"/>
  <c r="XG16" i="21"/>
  <c r="XC16" i="21"/>
  <c r="XB16" i="21"/>
  <c r="XA16" i="21"/>
  <c r="WW16" i="21"/>
  <c r="WV16" i="21"/>
  <c r="WU16" i="21"/>
  <c r="WO16" i="21"/>
  <c r="WN16" i="21"/>
  <c r="WM16" i="21"/>
  <c r="WI16" i="21"/>
  <c r="WH16" i="21"/>
  <c r="WG16" i="21"/>
  <c r="WD16" i="21"/>
  <c r="WB16" i="21"/>
  <c r="VZ16" i="21"/>
  <c r="VX16" i="21"/>
  <c r="VV16" i="21"/>
  <c r="VT16" i="21"/>
  <c r="VR16" i="21"/>
  <c r="UU16" i="21"/>
  <c r="UT16" i="21"/>
  <c r="US16" i="21"/>
  <c r="UR16" i="21"/>
  <c r="UQ16" i="21"/>
  <c r="UP16" i="21"/>
  <c r="KJ23" i="5" s="1"/>
  <c r="UO16" i="21"/>
  <c r="UM16" i="21"/>
  <c r="UL16" i="21"/>
  <c r="UK16" i="21"/>
  <c r="UJ16" i="21"/>
  <c r="UI16" i="21"/>
  <c r="KM23" i="5" s="1"/>
  <c r="UH16" i="21"/>
  <c r="TS16" i="21"/>
  <c r="TR16" i="21"/>
  <c r="TQ16" i="21"/>
  <c r="TP16" i="21"/>
  <c r="TO16" i="21"/>
  <c r="TN16" i="21"/>
  <c r="TM16" i="21"/>
  <c r="TE16" i="21"/>
  <c r="TD16" i="21"/>
  <c r="TC16" i="21"/>
  <c r="TB16" i="21"/>
  <c r="TA16" i="21"/>
  <c r="SZ16" i="21"/>
  <c r="KH23" i="5" s="1"/>
  <c r="SY16" i="21"/>
  <c r="SU16" i="21"/>
  <c r="ST16" i="21"/>
  <c r="SS16" i="21"/>
  <c r="SN16" i="21"/>
  <c r="SM16" i="21"/>
  <c r="SL16" i="21"/>
  <c r="SK16" i="21"/>
  <c r="SG16" i="21"/>
  <c r="SF16" i="21"/>
  <c r="SE16" i="21"/>
  <c r="SA16" i="21"/>
  <c r="RZ16" i="21"/>
  <c r="RY16" i="21"/>
  <c r="RW16" i="21"/>
  <c r="RV16" i="21"/>
  <c r="RO16" i="21"/>
  <c r="RN16" i="21"/>
  <c r="RM16" i="21"/>
  <c r="RI16" i="21"/>
  <c r="RH16" i="21"/>
  <c r="RG16" i="21"/>
  <c r="RC16" i="21"/>
  <c r="RB16" i="21"/>
  <c r="RA16" i="21"/>
  <c r="QW16" i="21"/>
  <c r="QV16" i="21"/>
  <c r="QU16" i="21"/>
  <c r="QS16" i="21"/>
  <c r="QR16" i="21"/>
  <c r="QK16" i="21"/>
  <c r="QJ16" i="21"/>
  <c r="QI16" i="21"/>
  <c r="PZ16" i="21"/>
  <c r="PY16" i="21"/>
  <c r="PT16" i="21"/>
  <c r="PS16" i="21"/>
  <c r="PR16" i="21"/>
  <c r="PQ16" i="21"/>
  <c r="PO16" i="21"/>
  <c r="PN16" i="21"/>
  <c r="PM16" i="21"/>
  <c r="PD16" i="21"/>
  <c r="PC16" i="21"/>
  <c r="PB16" i="21"/>
  <c r="PA16" i="21"/>
  <c r="OV16" i="21"/>
  <c r="OU16" i="21"/>
  <c r="OT16" i="21"/>
  <c r="OS16" i="21"/>
  <c r="ON16" i="21"/>
  <c r="OM16" i="21"/>
  <c r="OL16" i="21"/>
  <c r="OK16" i="21"/>
  <c r="OG16" i="21"/>
  <c r="OF16" i="21"/>
  <c r="OE16" i="21"/>
  <c r="OC16" i="21"/>
  <c r="OB16" i="21"/>
  <c r="NU16" i="21"/>
  <c r="NT16" i="21"/>
  <c r="NS16" i="21"/>
  <c r="NI16" i="21"/>
  <c r="NQ16" i="21" s="1"/>
  <c r="NH16" i="21"/>
  <c r="NG16" i="21"/>
  <c r="NF16" i="21"/>
  <c r="NE16" i="21"/>
  <c r="ND16" i="21"/>
  <c r="NC16" i="21"/>
  <c r="MX16" i="21"/>
  <c r="MW16" i="21"/>
  <c r="MV16" i="21"/>
  <c r="MU16" i="21"/>
  <c r="MS16" i="21"/>
  <c r="MR16" i="21"/>
  <c r="MQ16" i="21"/>
  <c r="MH16" i="21"/>
  <c r="MG16" i="21"/>
  <c r="MF16" i="21"/>
  <c r="ME16" i="21"/>
  <c r="LZ16" i="21"/>
  <c r="LY16" i="21"/>
  <c r="LX16" i="21"/>
  <c r="LW16" i="21"/>
  <c r="LS16" i="21"/>
  <c r="LR16" i="21"/>
  <c r="LQ16" i="21"/>
  <c r="LO16" i="21"/>
  <c r="LN16" i="21"/>
  <c r="LE16" i="21"/>
  <c r="LB16" i="21"/>
  <c r="LA16" i="21"/>
  <c r="KU16" i="21"/>
  <c r="KT16" i="21"/>
  <c r="KS16" i="21"/>
  <c r="KR16" i="21"/>
  <c r="KQ16" i="21"/>
  <c r="KM16" i="21"/>
  <c r="KL16" i="21"/>
  <c r="KK16" i="21"/>
  <c r="KI16" i="21"/>
  <c r="KH16" i="21"/>
  <c r="KA16" i="21"/>
  <c r="JZ16" i="21"/>
  <c r="JY16" i="21"/>
  <c r="JU16" i="21"/>
  <c r="JT16" i="21"/>
  <c r="JS16" i="21"/>
  <c r="JO16" i="21"/>
  <c r="JN16" i="21"/>
  <c r="JM16" i="21"/>
  <c r="JI16" i="21"/>
  <c r="JH16" i="21"/>
  <c r="JG16" i="21"/>
  <c r="IS16" i="21"/>
  <c r="IR16" i="21"/>
  <c r="IQ16" i="21"/>
  <c r="IM16" i="21"/>
  <c r="IL16" i="21"/>
  <c r="IK16" i="21"/>
  <c r="II16" i="21"/>
  <c r="IH16" i="21"/>
  <c r="IA16" i="21"/>
  <c r="HZ16" i="21"/>
  <c r="HY16" i="21"/>
  <c r="HU16" i="21"/>
  <c r="HR16" i="21"/>
  <c r="HO16" i="21"/>
  <c r="HN16" i="21"/>
  <c r="HM16" i="21"/>
  <c r="HF16" i="21"/>
  <c r="HE16" i="21"/>
  <c r="HD16" i="21" s="1"/>
  <c r="HJ16" i="21" s="1"/>
  <c r="GZ16" i="21"/>
  <c r="GY16" i="21"/>
  <c r="GX16" i="21"/>
  <c r="GW16" i="21"/>
  <c r="GI16" i="21"/>
  <c r="GH16" i="21"/>
  <c r="AH24" i="16" s="1"/>
  <c r="GG16" i="21"/>
  <c r="GC16" i="21"/>
  <c r="GB16" i="21"/>
  <c r="GA16" i="21"/>
  <c r="FW16" i="21"/>
  <c r="FV16" i="21"/>
  <c r="FU16" i="21"/>
  <c r="FS16" i="21"/>
  <c r="FR16" i="21"/>
  <c r="FK16" i="21"/>
  <c r="FJ16" i="21"/>
  <c r="FI16" i="21"/>
  <c r="FE16" i="21"/>
  <c r="FD16" i="21"/>
  <c r="FC16" i="21"/>
  <c r="EY16" i="21"/>
  <c r="EX16" i="21"/>
  <c r="EW16" i="21"/>
  <c r="ER16" i="21"/>
  <c r="EQ16" i="21"/>
  <c r="EP16" i="21"/>
  <c r="EO16" i="21"/>
  <c r="EK16" i="21"/>
  <c r="EJ16" i="21"/>
  <c r="EI16" i="21"/>
  <c r="EE16" i="21"/>
  <c r="ED16" i="21"/>
  <c r="EC16" i="21"/>
  <c r="DX16" i="21"/>
  <c r="DW16" i="21"/>
  <c r="DV16" i="21"/>
  <c r="DU16" i="21"/>
  <c r="DM16" i="21"/>
  <c r="DL16" i="21"/>
  <c r="DK16" i="21"/>
  <c r="DC16" i="21"/>
  <c r="DB16" i="21"/>
  <c r="DA16" i="21"/>
  <c r="CZ16" i="21"/>
  <c r="CY16" i="21"/>
  <c r="CX16" i="21"/>
  <c r="CW16" i="21"/>
  <c r="CS16" i="21"/>
  <c r="CR16" i="21"/>
  <c r="CQ16" i="21"/>
  <c r="CN16" i="21"/>
  <c r="CM16" i="21"/>
  <c r="CJ16" i="21"/>
  <c r="CH16" i="21"/>
  <c r="BZ16" i="21"/>
  <c r="BY16" i="21"/>
  <c r="BV16" i="21"/>
  <c r="BT16" i="21"/>
  <c r="BN16" i="21"/>
  <c r="BS16" i="21" s="1"/>
  <c r="BQ16" i="21" s="1"/>
  <c r="BM16" i="21"/>
  <c r="BL16" i="21" s="1"/>
  <c r="BJ16" i="21"/>
  <c r="BI16" i="21"/>
  <c r="BF16" i="21"/>
  <c r="BE16" i="21"/>
  <c r="BD16" i="21" s="1"/>
  <c r="BC16" i="21"/>
  <c r="BB16" i="21" s="1"/>
  <c r="AX16" i="21"/>
  <c r="AW16" i="21"/>
  <c r="AS16" i="21"/>
  <c r="AR16" i="21"/>
  <c r="AQ16" i="21"/>
  <c r="AL16" i="21"/>
  <c r="AG16" i="21"/>
  <c r="AK16" i="21" s="1"/>
  <c r="Z16" i="21"/>
  <c r="T16" i="21"/>
  <c r="S16" i="21"/>
  <c r="P16" i="21"/>
  <c r="N16" i="21"/>
  <c r="L16" i="21"/>
  <c r="K16" i="21"/>
  <c r="H16" i="21"/>
  <c r="F16" i="21"/>
  <c r="AAW26" i="21"/>
  <c r="AAV26" i="21"/>
  <c r="AAS26" i="21"/>
  <c r="AAR26" i="21"/>
  <c r="AAK26" i="21"/>
  <c r="AAJ26" i="21"/>
  <c r="ZV26" i="21"/>
  <c r="ZT26" i="21"/>
  <c r="ZS26" i="21"/>
  <c r="ZQ26" i="21"/>
  <c r="ZP26" i="21"/>
  <c r="ZO26" i="21"/>
  <c r="ZM26" i="21"/>
  <c r="YY26" i="21"/>
  <c r="YX26" i="21"/>
  <c r="YW26" i="21"/>
  <c r="ZI26" i="21" s="1"/>
  <c r="YV26" i="21"/>
  <c r="ZB26" i="21" s="1"/>
  <c r="YU26" i="21"/>
  <c r="YH26" i="21"/>
  <c r="YG26" i="21"/>
  <c r="YF26" i="21"/>
  <c r="YE26" i="21"/>
  <c r="YD26" i="21"/>
  <c r="YC26" i="21"/>
  <c r="YB26" i="21"/>
  <c r="YA26" i="21"/>
  <c r="XZ26" i="21"/>
  <c r="XY26" i="21"/>
  <c r="XR26" i="21"/>
  <c r="XW26" i="21" s="1"/>
  <c r="XU26" i="21" s="1"/>
  <c r="XQ26" i="21"/>
  <c r="XP26" i="21" s="1"/>
  <c r="XN26" i="21"/>
  <c r="XL26" i="21"/>
  <c r="XI26" i="21"/>
  <c r="XH26" i="21"/>
  <c r="XG26" i="21"/>
  <c r="XC26" i="21"/>
  <c r="XB26" i="21"/>
  <c r="XA26" i="21"/>
  <c r="WW26" i="21"/>
  <c r="WV26" i="21"/>
  <c r="WU26" i="21"/>
  <c r="WO26" i="21"/>
  <c r="WN26" i="21"/>
  <c r="WM26" i="21"/>
  <c r="WI26" i="21"/>
  <c r="WH26" i="21"/>
  <c r="WG26" i="21"/>
  <c r="WD26" i="21"/>
  <c r="WB26" i="21"/>
  <c r="VZ26" i="21"/>
  <c r="VX26" i="21"/>
  <c r="VV26" i="21"/>
  <c r="VT26" i="21"/>
  <c r="VR26" i="21"/>
  <c r="UU26" i="21"/>
  <c r="UT26" i="21"/>
  <c r="US26" i="21"/>
  <c r="UR26" i="21"/>
  <c r="UQ26" i="21"/>
  <c r="UP26" i="21"/>
  <c r="KJ22" i="5" s="1"/>
  <c r="UO26" i="21"/>
  <c r="UM26" i="21"/>
  <c r="UL26" i="21"/>
  <c r="UK26" i="21"/>
  <c r="UJ26" i="21"/>
  <c r="UI26" i="21"/>
  <c r="KM22" i="5" s="1"/>
  <c r="UH26" i="21"/>
  <c r="TS26" i="21"/>
  <c r="TR26" i="21"/>
  <c r="TQ26" i="21"/>
  <c r="TP26" i="21"/>
  <c r="TO26" i="21"/>
  <c r="TN26" i="21"/>
  <c r="TM26" i="21"/>
  <c r="TE26" i="21"/>
  <c r="TD26" i="21"/>
  <c r="TC26" i="21"/>
  <c r="TB26" i="21"/>
  <c r="TA26" i="21"/>
  <c r="SZ26" i="21"/>
  <c r="KH22" i="5" s="1"/>
  <c r="SY26" i="21"/>
  <c r="SU26" i="21"/>
  <c r="ST26" i="21"/>
  <c r="SS26" i="21"/>
  <c r="SN26" i="21"/>
  <c r="SM26" i="21"/>
  <c r="SL26" i="21"/>
  <c r="SK26" i="21"/>
  <c r="SG26" i="21"/>
  <c r="SF26" i="21"/>
  <c r="SE26" i="21"/>
  <c r="SA26" i="21"/>
  <c r="RZ26" i="21"/>
  <c r="RY26" i="21"/>
  <c r="RW26" i="21"/>
  <c r="RV26" i="21"/>
  <c r="RO26" i="21"/>
  <c r="RN26" i="21"/>
  <c r="RM26" i="21"/>
  <c r="RI26" i="21"/>
  <c r="RH26" i="21"/>
  <c r="RG26" i="21"/>
  <c r="RC26" i="21"/>
  <c r="RB26" i="21"/>
  <c r="RA26" i="21"/>
  <c r="QW26" i="21"/>
  <c r="QV26" i="21"/>
  <c r="QU26" i="21"/>
  <c r="QS26" i="21"/>
  <c r="QR26" i="21"/>
  <c r="QK26" i="21"/>
  <c r="QJ26" i="21"/>
  <c r="QI26" i="21"/>
  <c r="PZ26" i="21"/>
  <c r="PY26" i="21"/>
  <c r="PT26" i="21"/>
  <c r="PS26" i="21"/>
  <c r="PR26" i="21"/>
  <c r="PQ26" i="21"/>
  <c r="PO26" i="21"/>
  <c r="PN26" i="21"/>
  <c r="PM26" i="21"/>
  <c r="PD26" i="21"/>
  <c r="PC26" i="21"/>
  <c r="PB26" i="21"/>
  <c r="PA26" i="21"/>
  <c r="OV26" i="21"/>
  <c r="OU26" i="21"/>
  <c r="OT26" i="21"/>
  <c r="OS26" i="21"/>
  <c r="ON26" i="21"/>
  <c r="OM26" i="21"/>
  <c r="OL26" i="21"/>
  <c r="OK26" i="21"/>
  <c r="OG26" i="21"/>
  <c r="OF26" i="21"/>
  <c r="OE26" i="21"/>
  <c r="OC26" i="21"/>
  <c r="OB26" i="21"/>
  <c r="NU26" i="21"/>
  <c r="NT26" i="21"/>
  <c r="NS26" i="21"/>
  <c r="NI26" i="21"/>
  <c r="NQ26" i="21" s="1"/>
  <c r="NH26" i="21"/>
  <c r="NG26" i="21"/>
  <c r="NF26" i="21"/>
  <c r="NE26" i="21"/>
  <c r="ND26" i="21"/>
  <c r="NC26" i="21"/>
  <c r="MX26" i="21"/>
  <c r="MW26" i="21"/>
  <c r="MV26" i="21"/>
  <c r="MU26" i="21"/>
  <c r="MS26" i="21"/>
  <c r="MR26" i="21"/>
  <c r="MQ26" i="21"/>
  <c r="MH26" i="21"/>
  <c r="MG26" i="21"/>
  <c r="MF26" i="21"/>
  <c r="ME26" i="21"/>
  <c r="LZ26" i="21"/>
  <c r="LY26" i="21"/>
  <c r="LX26" i="21"/>
  <c r="LW26" i="21"/>
  <c r="LS26" i="21"/>
  <c r="LR26" i="21"/>
  <c r="LQ26" i="21"/>
  <c r="LO26" i="21"/>
  <c r="LN26" i="21"/>
  <c r="LE26" i="21"/>
  <c r="LB26" i="21"/>
  <c r="LA26" i="21"/>
  <c r="KU26" i="21"/>
  <c r="KT26" i="21"/>
  <c r="KS26" i="21"/>
  <c r="KR26" i="21"/>
  <c r="KQ26" i="21"/>
  <c r="KM26" i="21"/>
  <c r="KL26" i="21"/>
  <c r="KK26" i="21"/>
  <c r="KI26" i="21"/>
  <c r="KH26" i="21"/>
  <c r="KA26" i="21"/>
  <c r="JZ26" i="21"/>
  <c r="JY26" i="21"/>
  <c r="JU26" i="21"/>
  <c r="JT26" i="21"/>
  <c r="JS26" i="21"/>
  <c r="JO26" i="21"/>
  <c r="JN26" i="21"/>
  <c r="JM26" i="21"/>
  <c r="JI26" i="21"/>
  <c r="JH26" i="21"/>
  <c r="JG26" i="21"/>
  <c r="IS26" i="21"/>
  <c r="IR26" i="21"/>
  <c r="IQ26" i="21"/>
  <c r="IM26" i="21"/>
  <c r="IL26" i="21"/>
  <c r="IK26" i="21"/>
  <c r="II26" i="21"/>
  <c r="IH26" i="21"/>
  <c r="IA26" i="21"/>
  <c r="HZ26" i="21"/>
  <c r="HY26" i="21"/>
  <c r="HU26" i="21"/>
  <c r="HR26" i="21"/>
  <c r="HO26" i="21"/>
  <c r="HN26" i="21"/>
  <c r="HM26" i="21"/>
  <c r="HF26" i="21"/>
  <c r="HK26" i="21" s="1"/>
  <c r="HE26" i="21"/>
  <c r="HD26" i="21" s="1"/>
  <c r="GZ26" i="21"/>
  <c r="GY26" i="21"/>
  <c r="GX26" i="21"/>
  <c r="GW26" i="21"/>
  <c r="GI26" i="21"/>
  <c r="GH26" i="21"/>
  <c r="AH23" i="16" s="1"/>
  <c r="GG26" i="21"/>
  <c r="GC26" i="21"/>
  <c r="GB26" i="21"/>
  <c r="GA26" i="21"/>
  <c r="FW26" i="21"/>
  <c r="FV26" i="21"/>
  <c r="FU26" i="21"/>
  <c r="FS26" i="21"/>
  <c r="FR26" i="21"/>
  <c r="FK26" i="21"/>
  <c r="FJ26" i="21"/>
  <c r="FI26" i="21"/>
  <c r="FE26" i="21"/>
  <c r="FD26" i="21"/>
  <c r="FC26" i="21"/>
  <c r="EY26" i="21"/>
  <c r="EX26" i="21"/>
  <c r="EW26" i="21"/>
  <c r="ER26" i="21"/>
  <c r="EQ26" i="21"/>
  <c r="EP26" i="21"/>
  <c r="EO26" i="21"/>
  <c r="EK26" i="21"/>
  <c r="EJ26" i="21"/>
  <c r="EI26" i="21"/>
  <c r="EE26" i="21"/>
  <c r="ED26" i="21"/>
  <c r="EC26" i="21"/>
  <c r="DX26" i="21"/>
  <c r="DW26" i="21"/>
  <c r="DV26" i="21"/>
  <c r="DU26" i="21"/>
  <c r="DM26" i="21"/>
  <c r="DL26" i="21"/>
  <c r="DK26" i="21"/>
  <c r="DC26" i="21"/>
  <c r="DB26" i="21"/>
  <c r="DA26" i="21"/>
  <c r="CZ26" i="21"/>
  <c r="CY26" i="21"/>
  <c r="CX26" i="21"/>
  <c r="CW26" i="21"/>
  <c r="CS26" i="21"/>
  <c r="CR26" i="21"/>
  <c r="CQ26" i="21"/>
  <c r="CN26" i="21"/>
  <c r="CM26" i="21"/>
  <c r="CJ26" i="21"/>
  <c r="CH26" i="21"/>
  <c r="BZ26" i="21"/>
  <c r="BY26" i="21"/>
  <c r="BV26" i="21"/>
  <c r="BT26" i="21"/>
  <c r="BN26" i="21"/>
  <c r="BS26" i="21" s="1"/>
  <c r="BM26" i="21"/>
  <c r="BL26" i="21" s="1"/>
  <c r="BJ26" i="21"/>
  <c r="BI26" i="21"/>
  <c r="BF26" i="21"/>
  <c r="BE26" i="21"/>
  <c r="BD26" i="21" s="1"/>
  <c r="BC26" i="21"/>
  <c r="BB26" i="21" s="1"/>
  <c r="AX26" i="21"/>
  <c r="AW26" i="21"/>
  <c r="AS26" i="21"/>
  <c r="AR26" i="21"/>
  <c r="AQ26" i="21"/>
  <c r="AL26" i="21"/>
  <c r="AG26" i="21"/>
  <c r="AK26" i="21" s="1"/>
  <c r="Z26" i="21"/>
  <c r="T26" i="21"/>
  <c r="S26" i="21"/>
  <c r="P26" i="21"/>
  <c r="L26" i="21"/>
  <c r="K26" i="21"/>
  <c r="H26" i="21"/>
  <c r="F26" i="21"/>
  <c r="AAW25" i="21"/>
  <c r="AAV25" i="21"/>
  <c r="AAS25" i="21"/>
  <c r="AAR25" i="21"/>
  <c r="AAK25" i="21"/>
  <c r="AAJ25" i="21"/>
  <c r="ZV25" i="21"/>
  <c r="ZT25" i="21"/>
  <c r="ZS25" i="21"/>
  <c r="ZQ25" i="21"/>
  <c r="ZP25" i="21"/>
  <c r="ZO25" i="21"/>
  <c r="ZM25" i="21"/>
  <c r="YY25" i="21"/>
  <c r="YX25" i="21"/>
  <c r="YW25" i="21"/>
  <c r="ZI25" i="21" s="1"/>
  <c r="YV25" i="21"/>
  <c r="ZB25" i="21" s="1"/>
  <c r="YU25" i="21"/>
  <c r="YH25" i="21"/>
  <c r="YG25" i="21"/>
  <c r="YF25" i="21"/>
  <c r="YE25" i="21"/>
  <c r="YD25" i="21"/>
  <c r="YC25" i="21"/>
  <c r="YB25" i="21"/>
  <c r="YA25" i="21"/>
  <c r="XZ25" i="21"/>
  <c r="XY25" i="21"/>
  <c r="XR25" i="21"/>
  <c r="XW25" i="21" s="1"/>
  <c r="XU25" i="21" s="1"/>
  <c r="XQ25" i="21"/>
  <c r="XP25" i="21" s="1"/>
  <c r="XN25" i="21"/>
  <c r="XL25" i="21"/>
  <c r="XI25" i="21"/>
  <c r="XH25" i="21"/>
  <c r="XG25" i="21"/>
  <c r="XC25" i="21"/>
  <c r="XB25" i="21"/>
  <c r="XA25" i="21"/>
  <c r="WW25" i="21"/>
  <c r="WV25" i="21"/>
  <c r="WU25" i="21"/>
  <c r="WO25" i="21"/>
  <c r="WN25" i="21"/>
  <c r="WM25" i="21"/>
  <c r="WI25" i="21"/>
  <c r="WH25" i="21"/>
  <c r="WG25" i="21"/>
  <c r="WD25" i="21"/>
  <c r="WB25" i="21"/>
  <c r="VZ25" i="21"/>
  <c r="VX25" i="21"/>
  <c r="VV25" i="21"/>
  <c r="VT25" i="21"/>
  <c r="VR25" i="21"/>
  <c r="UU25" i="21"/>
  <c r="UT25" i="21"/>
  <c r="US25" i="21"/>
  <c r="UR25" i="21"/>
  <c r="UQ25" i="21"/>
  <c r="UP25" i="21"/>
  <c r="KJ21" i="5" s="1"/>
  <c r="UO25" i="21"/>
  <c r="UM25" i="21"/>
  <c r="UL25" i="21"/>
  <c r="UK25" i="21"/>
  <c r="UJ25" i="21"/>
  <c r="UI25" i="21"/>
  <c r="KM21" i="5" s="1"/>
  <c r="UH25" i="21"/>
  <c r="TS25" i="21"/>
  <c r="TR25" i="21"/>
  <c r="TQ25" i="21"/>
  <c r="TP25" i="21"/>
  <c r="TO25" i="21"/>
  <c r="TN25" i="21"/>
  <c r="TM25" i="21"/>
  <c r="TE25" i="21"/>
  <c r="TD25" i="21"/>
  <c r="TC25" i="21"/>
  <c r="TB25" i="21"/>
  <c r="TA25" i="21"/>
  <c r="SZ25" i="21"/>
  <c r="KH21" i="5" s="1"/>
  <c r="SY25" i="21"/>
  <c r="SU25" i="21"/>
  <c r="ST25" i="21"/>
  <c r="SS25" i="21"/>
  <c r="SN25" i="21"/>
  <c r="SM25" i="21"/>
  <c r="SL25" i="21"/>
  <c r="SK25" i="21"/>
  <c r="SG25" i="21"/>
  <c r="SF25" i="21"/>
  <c r="SE25" i="21"/>
  <c r="SA25" i="21"/>
  <c r="RZ25" i="21"/>
  <c r="RY25" i="21"/>
  <c r="RW25" i="21"/>
  <c r="RV25" i="21"/>
  <c r="RU25" i="21" s="1"/>
  <c r="RO25" i="21"/>
  <c r="RN25" i="21"/>
  <c r="RM25" i="21"/>
  <c r="RI25" i="21"/>
  <c r="RH25" i="21"/>
  <c r="RG25" i="21"/>
  <c r="RC25" i="21"/>
  <c r="RB25" i="21"/>
  <c r="RA25" i="21"/>
  <c r="QW25" i="21"/>
  <c r="QV25" i="21"/>
  <c r="QU25" i="21"/>
  <c r="QS25" i="21"/>
  <c r="QR25" i="21"/>
  <c r="QK25" i="21"/>
  <c r="QJ25" i="21"/>
  <c r="QI25" i="21"/>
  <c r="PZ25" i="21"/>
  <c r="PY25" i="21"/>
  <c r="PT25" i="21"/>
  <c r="PS25" i="21"/>
  <c r="PR25" i="21"/>
  <c r="PQ25" i="21"/>
  <c r="PO25" i="21"/>
  <c r="PN25" i="21"/>
  <c r="PM25" i="21"/>
  <c r="PD25" i="21"/>
  <c r="PC25" i="21"/>
  <c r="PB25" i="21"/>
  <c r="PA25" i="21"/>
  <c r="OV25" i="21"/>
  <c r="OU25" i="21"/>
  <c r="OT25" i="21"/>
  <c r="OS25" i="21"/>
  <c r="ON25" i="21"/>
  <c r="OM25" i="21"/>
  <c r="OL25" i="21"/>
  <c r="OK25" i="21"/>
  <c r="OG25" i="21"/>
  <c r="OF25" i="21"/>
  <c r="OE25" i="21"/>
  <c r="OC25" i="21"/>
  <c r="OB25" i="21"/>
  <c r="NU25" i="21"/>
  <c r="NT25" i="21"/>
  <c r="NS25" i="21"/>
  <c r="NI25" i="21"/>
  <c r="NQ25" i="21" s="1"/>
  <c r="NH25" i="21"/>
  <c r="NG25" i="21"/>
  <c r="NF25" i="21"/>
  <c r="NE25" i="21"/>
  <c r="ND25" i="21"/>
  <c r="NC25" i="21"/>
  <c r="MX25" i="21"/>
  <c r="MW25" i="21"/>
  <c r="MV25" i="21"/>
  <c r="MU25" i="21"/>
  <c r="MS25" i="21"/>
  <c r="MR25" i="21"/>
  <c r="MQ25" i="21"/>
  <c r="MH25" i="21"/>
  <c r="MG25" i="21"/>
  <c r="MF25" i="21"/>
  <c r="ME25" i="21"/>
  <c r="LZ25" i="21"/>
  <c r="LY25" i="21"/>
  <c r="LX25" i="21"/>
  <c r="LW25" i="21"/>
  <c r="LS25" i="21"/>
  <c r="LR25" i="21"/>
  <c r="LQ25" i="21"/>
  <c r="LO25" i="21"/>
  <c r="LN25" i="21"/>
  <c r="LE25" i="21"/>
  <c r="LB25" i="21"/>
  <c r="LA25" i="21"/>
  <c r="KU25" i="21"/>
  <c r="KT25" i="21"/>
  <c r="KS25" i="21"/>
  <c r="KR25" i="21"/>
  <c r="KQ25" i="21"/>
  <c r="KM25" i="21"/>
  <c r="KL25" i="21"/>
  <c r="KK25" i="21"/>
  <c r="KI25" i="21"/>
  <c r="KH25" i="21"/>
  <c r="KA25" i="21"/>
  <c r="JZ25" i="21"/>
  <c r="JY25" i="21"/>
  <c r="JU25" i="21"/>
  <c r="JT25" i="21"/>
  <c r="JS25" i="21"/>
  <c r="JO25" i="21"/>
  <c r="JN25" i="21"/>
  <c r="JM25" i="21"/>
  <c r="JI25" i="21"/>
  <c r="JH25" i="21"/>
  <c r="JG25" i="21"/>
  <c r="IS25" i="21"/>
  <c r="IR25" i="21"/>
  <c r="IQ25" i="21"/>
  <c r="IM25" i="21"/>
  <c r="IL25" i="21"/>
  <c r="IK25" i="21"/>
  <c r="II25" i="21"/>
  <c r="IH25" i="21"/>
  <c r="IA25" i="21"/>
  <c r="HZ25" i="21"/>
  <c r="HY25" i="21"/>
  <c r="HU25" i="21"/>
  <c r="HR25" i="21"/>
  <c r="HO25" i="21"/>
  <c r="HN25" i="21"/>
  <c r="HM25" i="21"/>
  <c r="HF25" i="21"/>
  <c r="HK25" i="21" s="1"/>
  <c r="HI25" i="21" s="1"/>
  <c r="HE25" i="21"/>
  <c r="HD25" i="21" s="1"/>
  <c r="GZ25" i="21"/>
  <c r="GY25" i="21"/>
  <c r="GX25" i="21"/>
  <c r="GW25" i="21"/>
  <c r="GI25" i="21"/>
  <c r="GH25" i="21"/>
  <c r="AH22" i="16" s="1"/>
  <c r="GG25" i="21"/>
  <c r="GC25" i="21"/>
  <c r="GB25" i="21"/>
  <c r="GA25" i="21"/>
  <c r="FW25" i="21"/>
  <c r="FV25" i="21"/>
  <c r="FU25" i="21"/>
  <c r="FS25" i="21"/>
  <c r="FR25" i="21"/>
  <c r="FK25" i="21"/>
  <c r="FJ25" i="21"/>
  <c r="FI25" i="21"/>
  <c r="FE25" i="21"/>
  <c r="FD25" i="21"/>
  <c r="FC25" i="21"/>
  <c r="EY25" i="21"/>
  <c r="EX25" i="21"/>
  <c r="EW25" i="21"/>
  <c r="ER25" i="21"/>
  <c r="EQ25" i="21"/>
  <c r="EP25" i="21"/>
  <c r="EO25" i="21"/>
  <c r="EK25" i="21"/>
  <c r="EJ25" i="21"/>
  <c r="EI25" i="21"/>
  <c r="EE25" i="21"/>
  <c r="ED25" i="21"/>
  <c r="EC25" i="21"/>
  <c r="DX25" i="21"/>
  <c r="DW25" i="21"/>
  <c r="DV25" i="21"/>
  <c r="DU25" i="21"/>
  <c r="DM25" i="21"/>
  <c r="DL25" i="21"/>
  <c r="DK25" i="21"/>
  <c r="DC25" i="21"/>
  <c r="DB25" i="21"/>
  <c r="DA25" i="21"/>
  <c r="CZ25" i="21"/>
  <c r="CY25" i="21"/>
  <c r="CX25" i="21"/>
  <c r="CW25" i="21"/>
  <c r="CS25" i="21"/>
  <c r="CR25" i="21"/>
  <c r="CQ25" i="21"/>
  <c r="CN25" i="21"/>
  <c r="CM25" i="21"/>
  <c r="CJ25" i="21"/>
  <c r="CH25" i="21"/>
  <c r="BZ25" i="21"/>
  <c r="BY25" i="21"/>
  <c r="BV25" i="21"/>
  <c r="BT25" i="21"/>
  <c r="BN25" i="21"/>
  <c r="BM25" i="21"/>
  <c r="BL25" i="21" s="1"/>
  <c r="BJ25" i="21"/>
  <c r="BI25" i="21"/>
  <c r="BF25" i="21"/>
  <c r="BE25" i="21"/>
  <c r="BD25" i="21" s="1"/>
  <c r="BC25" i="21"/>
  <c r="BB25" i="21" s="1"/>
  <c r="AX25" i="21"/>
  <c r="AW25" i="21"/>
  <c r="AV25" i="21" s="1"/>
  <c r="AS25" i="21"/>
  <c r="AR25" i="21"/>
  <c r="AQ25" i="21"/>
  <c r="AL25" i="21"/>
  <c r="AG25" i="21"/>
  <c r="AK25" i="21" s="1"/>
  <c r="Z25" i="21"/>
  <c r="T25" i="21"/>
  <c r="S25" i="21"/>
  <c r="P25" i="21"/>
  <c r="N25" i="21"/>
  <c r="L25" i="21"/>
  <c r="K25" i="21"/>
  <c r="H25" i="21"/>
  <c r="F25" i="21"/>
  <c r="AAW24" i="21"/>
  <c r="AAV24" i="21"/>
  <c r="AAS24" i="21"/>
  <c r="AAR24" i="21"/>
  <c r="AAK24" i="21"/>
  <c r="AAJ24" i="21"/>
  <c r="ZV24" i="21"/>
  <c r="ZT24" i="21"/>
  <c r="ZS24" i="21"/>
  <c r="ZQ24" i="21"/>
  <c r="ZP24" i="21"/>
  <c r="ZO24" i="21"/>
  <c r="ZM24" i="21"/>
  <c r="YY24" i="21"/>
  <c r="YX24" i="21"/>
  <c r="YW24" i="21"/>
  <c r="ZI24" i="21" s="1"/>
  <c r="YV24" i="21"/>
  <c r="ZB24" i="21" s="1"/>
  <c r="YU24" i="21"/>
  <c r="YH24" i="21"/>
  <c r="YG24" i="21"/>
  <c r="YF24" i="21"/>
  <c r="YE24" i="21"/>
  <c r="YD24" i="21"/>
  <c r="YC24" i="21"/>
  <c r="YB24" i="21"/>
  <c r="YA24" i="21"/>
  <c r="XZ24" i="21"/>
  <c r="XY24" i="21"/>
  <c r="XR24" i="21"/>
  <c r="XQ24" i="21"/>
  <c r="XP24" i="21" s="1"/>
  <c r="XN24" i="21"/>
  <c r="XL24" i="21"/>
  <c r="XI24" i="21"/>
  <c r="XH24" i="21"/>
  <c r="XG24" i="21"/>
  <c r="XC24" i="21"/>
  <c r="XB24" i="21"/>
  <c r="XA24" i="21"/>
  <c r="WW24" i="21"/>
  <c r="WV24" i="21"/>
  <c r="WU24" i="21"/>
  <c r="WO24" i="21"/>
  <c r="WN24" i="21"/>
  <c r="WM24" i="21"/>
  <c r="WI24" i="21"/>
  <c r="WH24" i="21"/>
  <c r="WG24" i="21"/>
  <c r="WD24" i="21"/>
  <c r="WB24" i="21"/>
  <c r="VZ24" i="21"/>
  <c r="VX24" i="21"/>
  <c r="VV24" i="21"/>
  <c r="VT24" i="21"/>
  <c r="VR24" i="21"/>
  <c r="UU24" i="21"/>
  <c r="UT24" i="21"/>
  <c r="US24" i="21"/>
  <c r="UR24" i="21"/>
  <c r="UQ24" i="21"/>
  <c r="UP24" i="21"/>
  <c r="KJ20" i="5" s="1"/>
  <c r="UO24" i="21"/>
  <c r="UM24" i="21"/>
  <c r="UL24" i="21"/>
  <c r="UK24" i="21"/>
  <c r="UJ24" i="21"/>
  <c r="UI24" i="21"/>
  <c r="KM20" i="5" s="1"/>
  <c r="UH24" i="21"/>
  <c r="TS24" i="21"/>
  <c r="TR24" i="21"/>
  <c r="TQ24" i="21"/>
  <c r="TP24" i="21"/>
  <c r="TO24" i="21"/>
  <c r="TN24" i="21"/>
  <c r="TM24" i="21"/>
  <c r="TE24" i="21"/>
  <c r="TD24" i="21"/>
  <c r="TC24" i="21"/>
  <c r="TB24" i="21"/>
  <c r="TA24" i="21"/>
  <c r="SZ24" i="21"/>
  <c r="KH20" i="5" s="1"/>
  <c r="SY24" i="21"/>
  <c r="SU24" i="21"/>
  <c r="ST24" i="21"/>
  <c r="SS24" i="21"/>
  <c r="SN24" i="21"/>
  <c r="SM24" i="21"/>
  <c r="SL24" i="21"/>
  <c r="SK24" i="21"/>
  <c r="SG24" i="21"/>
  <c r="SF24" i="21"/>
  <c r="SE24" i="21"/>
  <c r="SA24" i="21"/>
  <c r="RZ24" i="21"/>
  <c r="RY24" i="21"/>
  <c r="RW24" i="21"/>
  <c r="RV24" i="21"/>
  <c r="RO24" i="21"/>
  <c r="RN24" i="21"/>
  <c r="RM24" i="21"/>
  <c r="RI24" i="21"/>
  <c r="RH24" i="21"/>
  <c r="RG24" i="21"/>
  <c r="RC24" i="21"/>
  <c r="RB24" i="21"/>
  <c r="RA24" i="21"/>
  <c r="QW24" i="21"/>
  <c r="QV24" i="21"/>
  <c r="QU24" i="21"/>
  <c r="QS24" i="21"/>
  <c r="QR24" i="21"/>
  <c r="QK24" i="21"/>
  <c r="QJ24" i="21"/>
  <c r="QI24" i="21"/>
  <c r="PZ24" i="21"/>
  <c r="PY24" i="21"/>
  <c r="PT24" i="21"/>
  <c r="PS24" i="21"/>
  <c r="PR24" i="21"/>
  <c r="PQ24" i="21"/>
  <c r="PO24" i="21"/>
  <c r="PN24" i="21"/>
  <c r="PM24" i="21"/>
  <c r="PD24" i="21"/>
  <c r="PC24" i="21"/>
  <c r="PB24" i="21"/>
  <c r="PA24" i="21"/>
  <c r="OV24" i="21"/>
  <c r="OU24" i="21"/>
  <c r="OT24" i="21"/>
  <c r="OS24" i="21"/>
  <c r="ON24" i="21"/>
  <c r="OM24" i="21"/>
  <c r="OL24" i="21"/>
  <c r="OK24" i="21"/>
  <c r="OG24" i="21"/>
  <c r="OF24" i="21"/>
  <c r="OE24" i="21"/>
  <c r="OC24" i="21"/>
  <c r="OB24" i="21"/>
  <c r="NU24" i="21"/>
  <c r="NT24" i="21"/>
  <c r="NS24" i="21"/>
  <c r="NI24" i="21"/>
  <c r="NQ24" i="21" s="1"/>
  <c r="NH24" i="21"/>
  <c r="NG24" i="21"/>
  <c r="NF24" i="21"/>
  <c r="NE24" i="21"/>
  <c r="ND24" i="21"/>
  <c r="NC24" i="21"/>
  <c r="MX24" i="21"/>
  <c r="MW24" i="21"/>
  <c r="MV24" i="21"/>
  <c r="MU24" i="21"/>
  <c r="MS24" i="21"/>
  <c r="MR24" i="21"/>
  <c r="MQ24" i="21"/>
  <c r="MH24" i="21"/>
  <c r="MG24" i="21"/>
  <c r="MF24" i="21"/>
  <c r="ME24" i="21"/>
  <c r="LZ24" i="21"/>
  <c r="LY24" i="21"/>
  <c r="LX24" i="21"/>
  <c r="LW24" i="21"/>
  <c r="LS24" i="21"/>
  <c r="LR24" i="21"/>
  <c r="LQ24" i="21"/>
  <c r="LO24" i="21"/>
  <c r="LN24" i="21"/>
  <c r="LE24" i="21"/>
  <c r="LB24" i="21"/>
  <c r="LA24" i="21"/>
  <c r="KU24" i="21"/>
  <c r="KT24" i="21"/>
  <c r="KS24" i="21"/>
  <c r="KR24" i="21"/>
  <c r="KQ24" i="21"/>
  <c r="KM24" i="21"/>
  <c r="KL24" i="21"/>
  <c r="KK24" i="21"/>
  <c r="KI24" i="21"/>
  <c r="KH24" i="21"/>
  <c r="KA24" i="21"/>
  <c r="JZ24" i="21"/>
  <c r="JY24" i="21"/>
  <c r="JU24" i="21"/>
  <c r="JT24" i="21"/>
  <c r="JS24" i="21"/>
  <c r="JO24" i="21"/>
  <c r="JN24" i="21"/>
  <c r="JM24" i="21"/>
  <c r="JI24" i="21"/>
  <c r="JH24" i="21"/>
  <c r="JG24" i="21"/>
  <c r="IS24" i="21"/>
  <c r="IR24" i="21"/>
  <c r="IQ24" i="21"/>
  <c r="IM24" i="21"/>
  <c r="IL24" i="21"/>
  <c r="IK24" i="21"/>
  <c r="II24" i="21"/>
  <c r="IH24" i="21"/>
  <c r="IA24" i="21"/>
  <c r="HZ24" i="21"/>
  <c r="HY24" i="21"/>
  <c r="HU24" i="21"/>
  <c r="HR24" i="21"/>
  <c r="HO24" i="21"/>
  <c r="HN24" i="21"/>
  <c r="HM24" i="21"/>
  <c r="HF24" i="21"/>
  <c r="HK24" i="21" s="1"/>
  <c r="HE24" i="21"/>
  <c r="HD24" i="21" s="1"/>
  <c r="HJ24" i="21" s="1"/>
  <c r="HH24" i="21" s="1"/>
  <c r="GZ24" i="21"/>
  <c r="GY24" i="21"/>
  <c r="GX24" i="21"/>
  <c r="GW24" i="21"/>
  <c r="GI24" i="21"/>
  <c r="GH24" i="21"/>
  <c r="AH21" i="16" s="1"/>
  <c r="GG24" i="21"/>
  <c r="GC24" i="21"/>
  <c r="GB24" i="21"/>
  <c r="GA24" i="21"/>
  <c r="FW24" i="21"/>
  <c r="FV24" i="21"/>
  <c r="FU24" i="21"/>
  <c r="FS24" i="21"/>
  <c r="FR24" i="21"/>
  <c r="FK24" i="21"/>
  <c r="FJ24" i="21"/>
  <c r="FI24" i="21"/>
  <c r="FE24" i="21"/>
  <c r="FD24" i="21"/>
  <c r="FC24" i="21"/>
  <c r="EY24" i="21"/>
  <c r="EX24" i="21"/>
  <c r="EW24" i="21"/>
  <c r="ER24" i="21"/>
  <c r="EQ24" i="21"/>
  <c r="EP24" i="21"/>
  <c r="EO24" i="21"/>
  <c r="EK24" i="21"/>
  <c r="EJ24" i="21"/>
  <c r="EI24" i="21"/>
  <c r="EE24" i="21"/>
  <c r="ED24" i="21"/>
  <c r="EC24" i="21"/>
  <c r="DX24" i="21"/>
  <c r="DW24" i="21"/>
  <c r="DV24" i="21"/>
  <c r="DU24" i="21"/>
  <c r="DM24" i="21"/>
  <c r="DS24" i="21" s="1"/>
  <c r="DQ24" i="21" s="1"/>
  <c r="DL24" i="21"/>
  <c r="DK24" i="21"/>
  <c r="DC24" i="21"/>
  <c r="DB24" i="21"/>
  <c r="DA24" i="21"/>
  <c r="CZ24" i="21"/>
  <c r="CY24" i="21"/>
  <c r="CX24" i="21"/>
  <c r="CW24" i="21"/>
  <c r="CS24" i="21"/>
  <c r="CR24" i="21"/>
  <c r="CQ24" i="21"/>
  <c r="CN24" i="21"/>
  <c r="CM24" i="21"/>
  <c r="CJ24" i="21"/>
  <c r="CH24" i="21"/>
  <c r="BZ24" i="21"/>
  <c r="BY24" i="21"/>
  <c r="BV24" i="21"/>
  <c r="BT24" i="21"/>
  <c r="BN24" i="21"/>
  <c r="BS24" i="21" s="1"/>
  <c r="BM24" i="21"/>
  <c r="BL24" i="21" s="1"/>
  <c r="BJ24" i="21"/>
  <c r="BI24" i="21"/>
  <c r="BF24" i="21"/>
  <c r="BE24" i="21"/>
  <c r="BD24" i="21" s="1"/>
  <c r="BC24" i="21"/>
  <c r="BB24" i="21" s="1"/>
  <c r="AX24" i="21"/>
  <c r="AW24" i="21"/>
  <c r="AV24" i="21" s="1"/>
  <c r="AS24" i="21"/>
  <c r="AR24" i="21"/>
  <c r="AQ24" i="21"/>
  <c r="AL24" i="21"/>
  <c r="AG24" i="21"/>
  <c r="AK24" i="21" s="1"/>
  <c r="Z24" i="21"/>
  <c r="T24" i="21"/>
  <c r="S24" i="21"/>
  <c r="L24" i="21"/>
  <c r="K24" i="21"/>
  <c r="H24" i="21"/>
  <c r="F24" i="21"/>
  <c r="AAW23" i="21"/>
  <c r="AAV23" i="21"/>
  <c r="AAS23" i="21"/>
  <c r="AAR23" i="21"/>
  <c r="AAK23" i="21"/>
  <c r="AAJ23" i="21"/>
  <c r="ZV23" i="21"/>
  <c r="ZT23" i="21"/>
  <c r="ZS23" i="21"/>
  <c r="ZQ23" i="21"/>
  <c r="ZP23" i="21"/>
  <c r="ZO23" i="21"/>
  <c r="ZM23" i="21"/>
  <c r="YY23" i="21"/>
  <c r="YX23" i="21"/>
  <c r="YW23" i="21"/>
  <c r="ZI23" i="21" s="1"/>
  <c r="YV23" i="21"/>
  <c r="ZB23" i="21" s="1"/>
  <c r="YU23" i="21"/>
  <c r="YH23" i="21"/>
  <c r="YG23" i="21"/>
  <c r="YF23" i="21"/>
  <c r="YE23" i="21"/>
  <c r="YD23" i="21"/>
  <c r="YC23" i="21"/>
  <c r="YB23" i="21"/>
  <c r="YA23" i="21"/>
  <c r="XZ23" i="21"/>
  <c r="XY23" i="21"/>
  <c r="XW23" i="21"/>
  <c r="XR23" i="21"/>
  <c r="XQ23" i="21"/>
  <c r="XP23" i="21" s="1"/>
  <c r="XN23" i="21"/>
  <c r="XL23" i="21"/>
  <c r="XI23" i="21"/>
  <c r="XH23" i="21"/>
  <c r="XG23" i="21"/>
  <c r="XC23" i="21"/>
  <c r="XB23" i="21"/>
  <c r="XA23" i="21"/>
  <c r="WW23" i="21"/>
  <c r="WV23" i="21"/>
  <c r="WU23" i="21"/>
  <c r="WO23" i="21"/>
  <c r="WN23" i="21"/>
  <c r="WM23" i="21"/>
  <c r="WI23" i="21"/>
  <c r="WH23" i="21"/>
  <c r="WG23" i="21"/>
  <c r="WD23" i="21"/>
  <c r="WB23" i="21"/>
  <c r="VZ23" i="21"/>
  <c r="VX23" i="21"/>
  <c r="VV23" i="21"/>
  <c r="VT23" i="21"/>
  <c r="VR23" i="21"/>
  <c r="UU23" i="21"/>
  <c r="UT23" i="21"/>
  <c r="US23" i="21"/>
  <c r="UR23" i="21"/>
  <c r="UQ23" i="21"/>
  <c r="UP23" i="21"/>
  <c r="KJ19" i="5" s="1"/>
  <c r="UO23" i="21"/>
  <c r="UM23" i="21"/>
  <c r="UL23" i="21"/>
  <c r="UK23" i="21"/>
  <c r="UJ23" i="21"/>
  <c r="UI23" i="21"/>
  <c r="KM19" i="5" s="1"/>
  <c r="UH23" i="21"/>
  <c r="TS23" i="21"/>
  <c r="TR23" i="21"/>
  <c r="TQ23" i="21"/>
  <c r="TP23" i="21"/>
  <c r="TO23" i="21"/>
  <c r="TN23" i="21"/>
  <c r="TM23" i="21"/>
  <c r="TE23" i="21"/>
  <c r="TD23" i="21"/>
  <c r="TC23" i="21"/>
  <c r="TB23" i="21"/>
  <c r="TA23" i="21"/>
  <c r="SZ23" i="21"/>
  <c r="KH19" i="5" s="1"/>
  <c r="SY23" i="21"/>
  <c r="SU23" i="21"/>
  <c r="ST23" i="21"/>
  <c r="SS23" i="21"/>
  <c r="SN23" i="21"/>
  <c r="SM23" i="21"/>
  <c r="SL23" i="21"/>
  <c r="SK23" i="21"/>
  <c r="SG23" i="21"/>
  <c r="SF23" i="21"/>
  <c r="SE23" i="21"/>
  <c r="SA23" i="21"/>
  <c r="RZ23" i="21"/>
  <c r="RY23" i="21"/>
  <c r="RW23" i="21"/>
  <c r="RV23" i="21"/>
  <c r="RO23" i="21"/>
  <c r="RN23" i="21"/>
  <c r="RM23" i="21"/>
  <c r="RI23" i="21"/>
  <c r="RH23" i="21"/>
  <c r="RG23" i="21"/>
  <c r="RC23" i="21"/>
  <c r="RB23" i="21"/>
  <c r="RA23" i="21"/>
  <c r="QW23" i="21"/>
  <c r="QV23" i="21"/>
  <c r="QU23" i="21"/>
  <c r="QS23" i="21"/>
  <c r="QR23" i="21"/>
  <c r="QK23" i="21"/>
  <c r="QJ23" i="21"/>
  <c r="QI23" i="21"/>
  <c r="PZ23" i="21"/>
  <c r="PY23" i="21"/>
  <c r="PT23" i="21"/>
  <c r="PS23" i="21"/>
  <c r="PR23" i="21"/>
  <c r="PQ23" i="21"/>
  <c r="PO23" i="21"/>
  <c r="PN23" i="21"/>
  <c r="PM23" i="21"/>
  <c r="PD23" i="21"/>
  <c r="PC23" i="21"/>
  <c r="PB23" i="21"/>
  <c r="PA23" i="21"/>
  <c r="OV23" i="21"/>
  <c r="OU23" i="21"/>
  <c r="OT23" i="21"/>
  <c r="OS23" i="21"/>
  <c r="ON23" i="21"/>
  <c r="OM23" i="21"/>
  <c r="OL23" i="21"/>
  <c r="OK23" i="21"/>
  <c r="OG23" i="21"/>
  <c r="OF23" i="21"/>
  <c r="OE23" i="21"/>
  <c r="OC23" i="21"/>
  <c r="OB23" i="21"/>
  <c r="NU23" i="21"/>
  <c r="NT23" i="21"/>
  <c r="NS23" i="21"/>
  <c r="NI23" i="21"/>
  <c r="NQ23" i="21" s="1"/>
  <c r="NH23" i="21"/>
  <c r="NG23" i="21"/>
  <c r="NF23" i="21"/>
  <c r="NE23" i="21"/>
  <c r="ND23" i="21"/>
  <c r="NC23" i="21"/>
  <c r="MX23" i="21"/>
  <c r="MW23" i="21"/>
  <c r="MV23" i="21"/>
  <c r="MU23" i="21"/>
  <c r="MS23" i="21"/>
  <c r="MR23" i="21"/>
  <c r="MQ23" i="21"/>
  <c r="MH23" i="21"/>
  <c r="MG23" i="21"/>
  <c r="MF23" i="21"/>
  <c r="ME23" i="21"/>
  <c r="LZ23" i="21"/>
  <c r="LY23" i="21"/>
  <c r="LX23" i="21"/>
  <c r="LW23" i="21"/>
  <c r="LS23" i="21"/>
  <c r="LR23" i="21"/>
  <c r="LQ23" i="21"/>
  <c r="LO23" i="21"/>
  <c r="LN23" i="21"/>
  <c r="LE23" i="21"/>
  <c r="LB23" i="21"/>
  <c r="LA23" i="21"/>
  <c r="KU23" i="21"/>
  <c r="KT23" i="21"/>
  <c r="KS23" i="21"/>
  <c r="KR23" i="21"/>
  <c r="KQ23" i="21"/>
  <c r="KM23" i="21"/>
  <c r="KL23" i="21"/>
  <c r="KK23" i="21"/>
  <c r="KI23" i="21"/>
  <c r="KH23" i="21"/>
  <c r="KA23" i="21"/>
  <c r="JZ23" i="21"/>
  <c r="JY23" i="21"/>
  <c r="JU23" i="21"/>
  <c r="JT23" i="21"/>
  <c r="JS23" i="21"/>
  <c r="JO23" i="21"/>
  <c r="JN23" i="21"/>
  <c r="JM23" i="21"/>
  <c r="JI23" i="21"/>
  <c r="JH23" i="21"/>
  <c r="JG23" i="21"/>
  <c r="IS23" i="21"/>
  <c r="IR23" i="21"/>
  <c r="IQ23" i="21"/>
  <c r="IM23" i="21"/>
  <c r="IL23" i="21"/>
  <c r="IK23" i="21"/>
  <c r="II23" i="21"/>
  <c r="IH23" i="21"/>
  <c r="IA23" i="21"/>
  <c r="HZ23" i="21"/>
  <c r="HY23" i="21"/>
  <c r="HU23" i="21"/>
  <c r="HR23" i="21"/>
  <c r="HO23" i="21"/>
  <c r="HN23" i="21"/>
  <c r="HM23" i="21"/>
  <c r="HF23" i="21"/>
  <c r="HK23" i="21" s="1"/>
  <c r="HI23" i="21" s="1"/>
  <c r="HE23" i="21"/>
  <c r="HD23" i="21" s="1"/>
  <c r="GZ23" i="21"/>
  <c r="GY23" i="21"/>
  <c r="GX23" i="21"/>
  <c r="GW23" i="21"/>
  <c r="GI23" i="21"/>
  <c r="GH23" i="21"/>
  <c r="AH20" i="16" s="1"/>
  <c r="GG23" i="21"/>
  <c r="GC23" i="21"/>
  <c r="GB23" i="21"/>
  <c r="GA23" i="21"/>
  <c r="FW23" i="21"/>
  <c r="FV23" i="21"/>
  <c r="FU23" i="21"/>
  <c r="FS23" i="21"/>
  <c r="FR23" i="21"/>
  <c r="FK23" i="21"/>
  <c r="FJ23" i="21"/>
  <c r="FI23" i="21"/>
  <c r="FE23" i="21"/>
  <c r="FD23" i="21"/>
  <c r="FC23" i="21"/>
  <c r="EY23" i="21"/>
  <c r="EX23" i="21"/>
  <c r="EW23" i="21"/>
  <c r="ER23" i="21"/>
  <c r="EQ23" i="21"/>
  <c r="EP23" i="21"/>
  <c r="EO23" i="21"/>
  <c r="EK23" i="21"/>
  <c r="EJ23" i="21"/>
  <c r="EI23" i="21"/>
  <c r="EE23" i="21"/>
  <c r="ED23" i="21"/>
  <c r="EC23" i="21"/>
  <c r="DX23" i="21"/>
  <c r="DW23" i="21"/>
  <c r="DV23" i="21"/>
  <c r="DU23" i="21"/>
  <c r="DM23" i="21"/>
  <c r="DS23" i="21" s="1"/>
  <c r="DQ23" i="21" s="1"/>
  <c r="DL23" i="21"/>
  <c r="DK23" i="21"/>
  <c r="DC23" i="21"/>
  <c r="DB23" i="21"/>
  <c r="DA23" i="21"/>
  <c r="CZ23" i="21"/>
  <c r="CY23" i="21"/>
  <c r="CX23" i="21"/>
  <c r="CW23" i="21"/>
  <c r="CS23" i="21"/>
  <c r="CR23" i="21"/>
  <c r="CQ23" i="21"/>
  <c r="CN23" i="21"/>
  <c r="CM23" i="21"/>
  <c r="CJ23" i="21"/>
  <c r="CH23" i="21"/>
  <c r="BZ23" i="21"/>
  <c r="BY23" i="21"/>
  <c r="BV23" i="21"/>
  <c r="BT23" i="21"/>
  <c r="BN23" i="21"/>
  <c r="BS23" i="21" s="1"/>
  <c r="BM23" i="21"/>
  <c r="BL23" i="21" s="1"/>
  <c r="BJ23" i="21"/>
  <c r="BI23" i="21"/>
  <c r="BF23" i="21"/>
  <c r="BE23" i="21"/>
  <c r="BD23" i="21" s="1"/>
  <c r="BC23" i="21"/>
  <c r="BB23" i="21" s="1"/>
  <c r="AX23" i="21"/>
  <c r="AW23" i="21"/>
  <c r="AS23" i="21"/>
  <c r="AR23" i="21"/>
  <c r="AQ23" i="21"/>
  <c r="AL23" i="21"/>
  <c r="AG23" i="21"/>
  <c r="AK23" i="21" s="1"/>
  <c r="Z23" i="21"/>
  <c r="T23" i="21"/>
  <c r="S23" i="21"/>
  <c r="P23" i="21"/>
  <c r="N23" i="21"/>
  <c r="L23" i="21"/>
  <c r="K23" i="21"/>
  <c r="H23" i="21"/>
  <c r="F23" i="21"/>
  <c r="AAW15" i="21"/>
  <c r="AAV15" i="21"/>
  <c r="AAS15" i="21"/>
  <c r="AAR15" i="21"/>
  <c r="AAK15" i="21"/>
  <c r="AAJ15" i="21"/>
  <c r="ZV15" i="21"/>
  <c r="ZT15" i="21"/>
  <c r="ZS15" i="21"/>
  <c r="ZQ15" i="21"/>
  <c r="ZP15" i="21"/>
  <c r="ZO15" i="21"/>
  <c r="ZM15" i="21"/>
  <c r="YY15" i="21"/>
  <c r="ZK15" i="21" s="1"/>
  <c r="YX15" i="21"/>
  <c r="YW15" i="21"/>
  <c r="ZI15" i="21" s="1"/>
  <c r="YV15" i="21"/>
  <c r="ZB15" i="21" s="1"/>
  <c r="YU15" i="21"/>
  <c r="YH15" i="21"/>
  <c r="YG15" i="21"/>
  <c r="YF15" i="21"/>
  <c r="YE15" i="21"/>
  <c r="YD15" i="21"/>
  <c r="YC15" i="21"/>
  <c r="YB15" i="21"/>
  <c r="YA15" i="21"/>
  <c r="XZ15" i="21"/>
  <c r="XY15" i="21"/>
  <c r="XR15" i="21"/>
  <c r="XQ15" i="21"/>
  <c r="XP15" i="21" s="1"/>
  <c r="XN15" i="21"/>
  <c r="XL15" i="21"/>
  <c r="XI15" i="21"/>
  <c r="XH15" i="21"/>
  <c r="XG15" i="21"/>
  <c r="XC15" i="21"/>
  <c r="XB15" i="21"/>
  <c r="XA15" i="21"/>
  <c r="WW15" i="21"/>
  <c r="WV15" i="21"/>
  <c r="WU15" i="21"/>
  <c r="WO15" i="21"/>
  <c r="WN15" i="21"/>
  <c r="WM15" i="21"/>
  <c r="WI15" i="21"/>
  <c r="WH15" i="21"/>
  <c r="WG15" i="21"/>
  <c r="WD15" i="21"/>
  <c r="WB15" i="21"/>
  <c r="VZ15" i="21"/>
  <c r="VX15" i="21"/>
  <c r="VV15" i="21"/>
  <c r="VT15" i="21"/>
  <c r="VR15" i="21"/>
  <c r="UU15" i="21"/>
  <c r="UT15" i="21"/>
  <c r="US15" i="21"/>
  <c r="UR15" i="21"/>
  <c r="UQ15" i="21"/>
  <c r="UP15" i="21"/>
  <c r="KJ18" i="5" s="1"/>
  <c r="UO15" i="21"/>
  <c r="UM15" i="21"/>
  <c r="UL15" i="21"/>
  <c r="UK15" i="21"/>
  <c r="UJ15" i="21"/>
  <c r="UI15" i="21"/>
  <c r="KM18" i="5" s="1"/>
  <c r="UH15" i="21"/>
  <c r="TS15" i="21"/>
  <c r="TR15" i="21"/>
  <c r="TQ15" i="21"/>
  <c r="TP15" i="21"/>
  <c r="TO15" i="21"/>
  <c r="TN15" i="21"/>
  <c r="TM15" i="21"/>
  <c r="TE15" i="21"/>
  <c r="TD15" i="21"/>
  <c r="TC15" i="21"/>
  <c r="TB15" i="21"/>
  <c r="TA15" i="21"/>
  <c r="SZ15" i="21"/>
  <c r="KH18" i="5" s="1"/>
  <c r="SY15" i="21"/>
  <c r="SU15" i="21"/>
  <c r="ST15" i="21"/>
  <c r="SS15" i="21"/>
  <c r="SN15" i="21"/>
  <c r="SM15" i="21"/>
  <c r="SL15" i="21"/>
  <c r="SK15" i="21"/>
  <c r="SG15" i="21"/>
  <c r="SF15" i="21"/>
  <c r="SE15" i="21"/>
  <c r="SA15" i="21"/>
  <c r="RZ15" i="21"/>
  <c r="RY15" i="21"/>
  <c r="RW15" i="21"/>
  <c r="RV15" i="21"/>
  <c r="RO15" i="21"/>
  <c r="RN15" i="21"/>
  <c r="RM15" i="21"/>
  <c r="RI15" i="21"/>
  <c r="RH15" i="21"/>
  <c r="RG15" i="21"/>
  <c r="RC15" i="21"/>
  <c r="RB15" i="21"/>
  <c r="RA15" i="21"/>
  <c r="QW15" i="21"/>
  <c r="QV15" i="21"/>
  <c r="QU15" i="21"/>
  <c r="QS15" i="21"/>
  <c r="QR15" i="21"/>
  <c r="QK15" i="21"/>
  <c r="QJ15" i="21"/>
  <c r="QI15" i="21"/>
  <c r="PZ15" i="21"/>
  <c r="PY15" i="21"/>
  <c r="PT15" i="21"/>
  <c r="PS15" i="21"/>
  <c r="PR15" i="21"/>
  <c r="PQ15" i="21"/>
  <c r="PO15" i="21"/>
  <c r="PN15" i="21"/>
  <c r="PM15" i="21"/>
  <c r="PD15" i="21"/>
  <c r="PC15" i="21"/>
  <c r="PB15" i="21"/>
  <c r="PA15" i="21"/>
  <c r="OV15" i="21"/>
  <c r="OU15" i="21"/>
  <c r="OT15" i="21"/>
  <c r="OS15" i="21"/>
  <c r="ON15" i="21"/>
  <c r="OM15" i="21"/>
  <c r="OL15" i="21"/>
  <c r="OK15" i="21"/>
  <c r="OG15" i="21"/>
  <c r="OF15" i="21"/>
  <c r="OE15" i="21"/>
  <c r="OC15" i="21"/>
  <c r="OB15" i="21"/>
  <c r="NU15" i="21"/>
  <c r="NT15" i="21"/>
  <c r="NS15" i="21"/>
  <c r="NI15" i="21"/>
  <c r="NQ15" i="21" s="1"/>
  <c r="NH15" i="21"/>
  <c r="NG15" i="21"/>
  <c r="NF15" i="21"/>
  <c r="NE15" i="21"/>
  <c r="ND15" i="21"/>
  <c r="NC15" i="21"/>
  <c r="MX15" i="21"/>
  <c r="MW15" i="21"/>
  <c r="MV15" i="21"/>
  <c r="MU15" i="21"/>
  <c r="MS15" i="21"/>
  <c r="MR15" i="21"/>
  <c r="MQ15" i="21"/>
  <c r="MH15" i="21"/>
  <c r="MG15" i="21"/>
  <c r="MF15" i="21"/>
  <c r="ME15" i="21"/>
  <c r="LZ15" i="21"/>
  <c r="LY15" i="21"/>
  <c r="LX15" i="21"/>
  <c r="LW15" i="21"/>
  <c r="LS15" i="21"/>
  <c r="LR15" i="21"/>
  <c r="LQ15" i="21"/>
  <c r="LO15" i="21"/>
  <c r="LN15" i="21"/>
  <c r="LE15" i="21"/>
  <c r="LB15" i="21"/>
  <c r="LA15" i="21"/>
  <c r="KU15" i="21"/>
  <c r="KT15" i="21"/>
  <c r="KS15" i="21"/>
  <c r="KR15" i="21"/>
  <c r="KQ15" i="21"/>
  <c r="KM15" i="21"/>
  <c r="KL15" i="21"/>
  <c r="KK15" i="21"/>
  <c r="KI15" i="21"/>
  <c r="KH15" i="21"/>
  <c r="KA15" i="21"/>
  <c r="JZ15" i="21"/>
  <c r="JY15" i="21"/>
  <c r="JU15" i="21"/>
  <c r="JT15" i="21"/>
  <c r="JS15" i="21"/>
  <c r="JO15" i="21"/>
  <c r="JN15" i="21"/>
  <c r="JM15" i="21"/>
  <c r="JI15" i="21"/>
  <c r="JH15" i="21"/>
  <c r="JG15" i="21"/>
  <c r="IS15" i="21"/>
  <c r="IR15" i="21"/>
  <c r="IQ15" i="21"/>
  <c r="IM15" i="21"/>
  <c r="IL15" i="21"/>
  <c r="IK15" i="21"/>
  <c r="II15" i="21"/>
  <c r="IH15" i="21"/>
  <c r="IA15" i="21"/>
  <c r="HZ15" i="21"/>
  <c r="HY15" i="21"/>
  <c r="HU15" i="21"/>
  <c r="HR15" i="21"/>
  <c r="HO15" i="21"/>
  <c r="HN15" i="21"/>
  <c r="HM15" i="21"/>
  <c r="HF15" i="21"/>
  <c r="HK15" i="21" s="1"/>
  <c r="HI15" i="21" s="1"/>
  <c r="HE15" i="21"/>
  <c r="HD15" i="21" s="1"/>
  <c r="GZ15" i="21"/>
  <c r="GY15" i="21"/>
  <c r="GX15" i="21"/>
  <c r="GW15" i="21"/>
  <c r="GI15" i="21"/>
  <c r="GH15" i="21"/>
  <c r="AH19" i="16" s="1"/>
  <c r="GG15" i="21"/>
  <c r="GC15" i="21"/>
  <c r="GB15" i="21"/>
  <c r="GA15" i="21"/>
  <c r="FW15" i="21"/>
  <c r="FV15" i="21"/>
  <c r="FU15" i="21"/>
  <c r="FS15" i="21"/>
  <c r="FR15" i="21"/>
  <c r="FK15" i="21"/>
  <c r="FJ15" i="21"/>
  <c r="FI15" i="21"/>
  <c r="FE15" i="21"/>
  <c r="FD15" i="21"/>
  <c r="FC15" i="21"/>
  <c r="EY15" i="21"/>
  <c r="EX15" i="21"/>
  <c r="EW15" i="21"/>
  <c r="ER15" i="21"/>
  <c r="EQ15" i="21"/>
  <c r="EP15" i="21"/>
  <c r="EO15" i="21"/>
  <c r="EK15" i="21"/>
  <c r="EJ15" i="21"/>
  <c r="EI15" i="21"/>
  <c r="EE15" i="21"/>
  <c r="ED15" i="21"/>
  <c r="EC15" i="21"/>
  <c r="DX15" i="21"/>
  <c r="DW15" i="21"/>
  <c r="DV15" i="21"/>
  <c r="DU15" i="21"/>
  <c r="DM15" i="21"/>
  <c r="DL15" i="21"/>
  <c r="DK15" i="21"/>
  <c r="DC15" i="21"/>
  <c r="DB15" i="21"/>
  <c r="DA15" i="21"/>
  <c r="CZ15" i="21"/>
  <c r="CY15" i="21"/>
  <c r="CX15" i="21"/>
  <c r="CW15" i="21"/>
  <c r="CS15" i="21"/>
  <c r="CR15" i="21"/>
  <c r="CQ15" i="21"/>
  <c r="CN15" i="21"/>
  <c r="CM15" i="21"/>
  <c r="CJ15" i="21"/>
  <c r="CH15" i="21"/>
  <c r="BZ15" i="21"/>
  <c r="BY15" i="21"/>
  <c r="BV15" i="21"/>
  <c r="BT15" i="21"/>
  <c r="BN15" i="21"/>
  <c r="BS15" i="21" s="1"/>
  <c r="BQ15" i="21" s="1"/>
  <c r="BM15" i="21"/>
  <c r="BL15" i="21" s="1"/>
  <c r="BJ15" i="21"/>
  <c r="BI15" i="21"/>
  <c r="BF15" i="21"/>
  <c r="BE15" i="21"/>
  <c r="BD15" i="21" s="1"/>
  <c r="BC15" i="21"/>
  <c r="BB15" i="21" s="1"/>
  <c r="AX15" i="21"/>
  <c r="AW15" i="21"/>
  <c r="AV15" i="21" s="1"/>
  <c r="AS15" i="21"/>
  <c r="AR15" i="21"/>
  <c r="AQ15" i="21"/>
  <c r="AL15" i="21"/>
  <c r="AG15" i="21"/>
  <c r="AK15" i="21" s="1"/>
  <c r="Z15" i="21"/>
  <c r="T15" i="21"/>
  <c r="S15" i="21"/>
  <c r="P15" i="21"/>
  <c r="N15" i="21"/>
  <c r="L15" i="21"/>
  <c r="K15" i="21"/>
  <c r="H15" i="21"/>
  <c r="F15" i="21"/>
  <c r="AAW22" i="21"/>
  <c r="AAV22" i="21"/>
  <c r="AAS22" i="21"/>
  <c r="AAR22" i="21"/>
  <c r="AAK22" i="21"/>
  <c r="AAE22" i="21" s="1"/>
  <c r="AAJ22" i="21"/>
  <c r="ZV22" i="21"/>
  <c r="ZT22" i="21"/>
  <c r="ZS22" i="21"/>
  <c r="ZQ22" i="21"/>
  <c r="ZP22" i="21"/>
  <c r="ZO22" i="21"/>
  <c r="ZM22" i="21"/>
  <c r="YY22" i="21"/>
  <c r="YX22" i="21"/>
  <c r="ZJ22" i="21" s="1"/>
  <c r="YW22" i="21"/>
  <c r="ZI22" i="21" s="1"/>
  <c r="YV22" i="21"/>
  <c r="ZB22" i="21" s="1"/>
  <c r="YU22" i="21"/>
  <c r="YH22" i="21"/>
  <c r="YG22" i="21"/>
  <c r="YF22" i="21"/>
  <c r="YE22" i="21"/>
  <c r="YD22" i="21"/>
  <c r="YC22" i="21"/>
  <c r="YB22" i="21"/>
  <c r="YA22" i="21"/>
  <c r="XZ22" i="21"/>
  <c r="XY22" i="21"/>
  <c r="XR22" i="21"/>
  <c r="XW22" i="21" s="1"/>
  <c r="XU22" i="21" s="1"/>
  <c r="XQ22" i="21"/>
  <c r="XP22" i="21" s="1"/>
  <c r="XN22" i="21"/>
  <c r="XL22" i="21"/>
  <c r="XI22" i="21"/>
  <c r="XH22" i="21"/>
  <c r="XG22" i="21"/>
  <c r="XC22" i="21"/>
  <c r="XB22" i="21"/>
  <c r="XA22" i="21"/>
  <c r="WW22" i="21"/>
  <c r="WV22" i="21"/>
  <c r="WU22" i="21"/>
  <c r="WO22" i="21"/>
  <c r="WN22" i="21"/>
  <c r="WM22" i="21"/>
  <c r="WI22" i="21"/>
  <c r="WH22" i="21"/>
  <c r="WG22" i="21"/>
  <c r="WD22" i="21"/>
  <c r="WB22" i="21"/>
  <c r="VZ22" i="21"/>
  <c r="VX22" i="21"/>
  <c r="VV22" i="21"/>
  <c r="VT22" i="21"/>
  <c r="VR22" i="21"/>
  <c r="UU22" i="21"/>
  <c r="UT22" i="21"/>
  <c r="US22" i="21"/>
  <c r="UR22" i="21"/>
  <c r="UQ22" i="21"/>
  <c r="UP22" i="21"/>
  <c r="KJ17" i="5" s="1"/>
  <c r="UO22" i="21"/>
  <c r="UM22" i="21"/>
  <c r="UL22" i="21"/>
  <c r="UK22" i="21"/>
  <c r="UJ22" i="21"/>
  <c r="UI22" i="21"/>
  <c r="KM17" i="5" s="1"/>
  <c r="UH22" i="21"/>
  <c r="TS22" i="21"/>
  <c r="TR22" i="21"/>
  <c r="TQ22" i="21"/>
  <c r="TP22" i="21"/>
  <c r="TO22" i="21"/>
  <c r="TN22" i="21"/>
  <c r="TM22" i="21"/>
  <c r="TE22" i="21"/>
  <c r="TD22" i="21"/>
  <c r="TC22" i="21"/>
  <c r="TB22" i="21"/>
  <c r="TA22" i="21"/>
  <c r="SZ22" i="21"/>
  <c r="KH17" i="5" s="1"/>
  <c r="SY22" i="21"/>
  <c r="SU22" i="21"/>
  <c r="ST22" i="21"/>
  <c r="SS22" i="21"/>
  <c r="SN22" i="21"/>
  <c r="SM22" i="21"/>
  <c r="SL22" i="21"/>
  <c r="SK22" i="21"/>
  <c r="SG22" i="21"/>
  <c r="SF22" i="21"/>
  <c r="SE22" i="21"/>
  <c r="SA22" i="21"/>
  <c r="RZ22" i="21"/>
  <c r="RY22" i="21"/>
  <c r="RW22" i="21"/>
  <c r="RV22" i="21"/>
  <c r="RU22" i="21" s="1"/>
  <c r="RO22" i="21"/>
  <c r="RN22" i="21"/>
  <c r="RM22" i="21"/>
  <c r="RI22" i="21"/>
  <c r="RH22" i="21"/>
  <c r="RG22" i="21"/>
  <c r="RC22" i="21"/>
  <c r="RB22" i="21"/>
  <c r="RA22" i="21"/>
  <c r="QW22" i="21"/>
  <c r="QV22" i="21"/>
  <c r="QU22" i="21"/>
  <c r="QS22" i="21"/>
  <c r="QR22" i="21"/>
  <c r="QK22" i="21"/>
  <c r="QJ22" i="21"/>
  <c r="QI22" i="21"/>
  <c r="PZ22" i="21"/>
  <c r="PY22" i="21"/>
  <c r="PT22" i="21"/>
  <c r="PS22" i="21"/>
  <c r="PR22" i="21"/>
  <c r="PQ22" i="21"/>
  <c r="PO22" i="21"/>
  <c r="PN22" i="21"/>
  <c r="PM22" i="21"/>
  <c r="PD22" i="21"/>
  <c r="PC22" i="21"/>
  <c r="PB22" i="21"/>
  <c r="PA22" i="21"/>
  <c r="OV22" i="21"/>
  <c r="OU22" i="21"/>
  <c r="OT22" i="21"/>
  <c r="OS22" i="21"/>
  <c r="ON22" i="21"/>
  <c r="OM22" i="21"/>
  <c r="OL22" i="21"/>
  <c r="OK22" i="21"/>
  <c r="OF22" i="21"/>
  <c r="OE22" i="21"/>
  <c r="NT22" i="21"/>
  <c r="NW22" i="21" s="1"/>
  <c r="OI22" i="21" s="1"/>
  <c r="OI31" i="21" s="1"/>
  <c r="NS22" i="21"/>
  <c r="NV22" i="21" s="1"/>
  <c r="NI22" i="21"/>
  <c r="NQ22" i="21" s="1"/>
  <c r="NH22" i="21"/>
  <c r="NG22" i="21"/>
  <c r="NF22" i="21"/>
  <c r="NE22" i="21"/>
  <c r="ND22" i="21"/>
  <c r="NC22" i="21"/>
  <c r="MX22" i="21"/>
  <c r="MW22" i="21"/>
  <c r="MV22" i="21"/>
  <c r="MU22" i="21"/>
  <c r="MS22" i="21"/>
  <c r="MR22" i="21"/>
  <c r="MQ22" i="21"/>
  <c r="MH22" i="21"/>
  <c r="MG22" i="21"/>
  <c r="MF22" i="21"/>
  <c r="ME22" i="21"/>
  <c r="LZ22" i="21"/>
  <c r="LY22" i="21"/>
  <c r="LX22" i="21"/>
  <c r="LW22" i="21"/>
  <c r="LS22" i="21"/>
  <c r="LR22" i="21"/>
  <c r="LQ22" i="21"/>
  <c r="LO22" i="21"/>
  <c r="LN22" i="21"/>
  <c r="LE22" i="21"/>
  <c r="LB22" i="21"/>
  <c r="LA22" i="21"/>
  <c r="KU22" i="21"/>
  <c r="KT22" i="21"/>
  <c r="KS22" i="21"/>
  <c r="KR22" i="21"/>
  <c r="KQ22" i="21"/>
  <c r="KM22" i="21"/>
  <c r="KL22" i="21"/>
  <c r="KK22" i="21"/>
  <c r="KI22" i="21"/>
  <c r="KH22" i="21"/>
  <c r="KA22" i="21"/>
  <c r="JZ22" i="21"/>
  <c r="JY22" i="21"/>
  <c r="JU22" i="21"/>
  <c r="JT22" i="21"/>
  <c r="JS22" i="21"/>
  <c r="JO22" i="21"/>
  <c r="JN22" i="21"/>
  <c r="JM22" i="21"/>
  <c r="JI22" i="21"/>
  <c r="JH22" i="21"/>
  <c r="JG22" i="21"/>
  <c r="IS22" i="21"/>
  <c r="IR22" i="21"/>
  <c r="IQ22" i="21"/>
  <c r="IM22" i="21"/>
  <c r="IL22" i="21"/>
  <c r="IK22" i="21"/>
  <c r="II22" i="21"/>
  <c r="IH22" i="21"/>
  <c r="IA22" i="21"/>
  <c r="HZ22" i="21"/>
  <c r="HY22" i="21"/>
  <c r="HU22" i="21"/>
  <c r="HR22" i="21"/>
  <c r="HO22" i="21"/>
  <c r="HN22" i="21"/>
  <c r="HM22" i="21"/>
  <c r="HF22" i="21"/>
  <c r="HE22" i="21"/>
  <c r="HD22" i="21" s="1"/>
  <c r="GZ22" i="21"/>
  <c r="GY22" i="21"/>
  <c r="GX22" i="21"/>
  <c r="GW22" i="21"/>
  <c r="GI22" i="21"/>
  <c r="GH22" i="21"/>
  <c r="AH18" i="16" s="1"/>
  <c r="GG22" i="21"/>
  <c r="GC22" i="21"/>
  <c r="GB22" i="21"/>
  <c r="GA22" i="21"/>
  <c r="FW22" i="21"/>
  <c r="FV22" i="21"/>
  <c r="FU22" i="21"/>
  <c r="FS22" i="21"/>
  <c r="FR22" i="21"/>
  <c r="FK22" i="21"/>
  <c r="FJ22" i="21"/>
  <c r="FI22" i="21"/>
  <c r="FE22" i="21"/>
  <c r="FD22" i="21"/>
  <c r="FC22" i="21"/>
  <c r="EY22" i="21"/>
  <c r="EX22" i="21"/>
  <c r="EW22" i="21"/>
  <c r="ER22" i="21"/>
  <c r="EQ22" i="21"/>
  <c r="EP22" i="21"/>
  <c r="EO22" i="21"/>
  <c r="EK22" i="21"/>
  <c r="EJ22" i="21"/>
  <c r="EI22" i="21"/>
  <c r="EE22" i="21"/>
  <c r="ED22" i="21"/>
  <c r="EC22" i="21"/>
  <c r="DX22" i="21"/>
  <c r="DW22" i="21"/>
  <c r="DV22" i="21"/>
  <c r="DU22" i="21"/>
  <c r="DM22" i="21"/>
  <c r="DS22" i="21" s="1"/>
  <c r="DQ22" i="21" s="1"/>
  <c r="DL22" i="21"/>
  <c r="DK22" i="21"/>
  <c r="DC22" i="21"/>
  <c r="DB22" i="21"/>
  <c r="DA22" i="21"/>
  <c r="CZ22" i="21"/>
  <c r="CY22" i="21"/>
  <c r="CX22" i="21"/>
  <c r="CW22" i="21"/>
  <c r="CS22" i="21"/>
  <c r="CR22" i="21"/>
  <c r="CQ22" i="21"/>
  <c r="CN22" i="21"/>
  <c r="CM22" i="21"/>
  <c r="CJ22" i="21"/>
  <c r="CH22" i="21"/>
  <c r="BZ22" i="21"/>
  <c r="BY22" i="21"/>
  <c r="BV22" i="21"/>
  <c r="BT22" i="21"/>
  <c r="BN22" i="21"/>
  <c r="BS22" i="21" s="1"/>
  <c r="BQ22" i="21" s="1"/>
  <c r="BM22" i="21"/>
  <c r="BL22" i="21" s="1"/>
  <c r="BJ22" i="21"/>
  <c r="BI22" i="21"/>
  <c r="BF22" i="21"/>
  <c r="BE22" i="21"/>
  <c r="BD22" i="21" s="1"/>
  <c r="BC22" i="21"/>
  <c r="BB22" i="21" s="1"/>
  <c r="AX22" i="21"/>
  <c r="AW22" i="21"/>
  <c r="AV22" i="21" s="1"/>
  <c r="AS22" i="21"/>
  <c r="AR22" i="21"/>
  <c r="AQ22" i="21"/>
  <c r="AL22" i="21"/>
  <c r="AG22" i="21"/>
  <c r="AK22" i="21" s="1"/>
  <c r="Z22" i="21"/>
  <c r="T22" i="21"/>
  <c r="S22" i="21"/>
  <c r="P22" i="21"/>
  <c r="L22" i="21"/>
  <c r="K22" i="21"/>
  <c r="H22" i="21"/>
  <c r="F22" i="21"/>
  <c r="AAW21" i="21"/>
  <c r="AAV21" i="21"/>
  <c r="AAS21" i="21"/>
  <c r="AAR21" i="21"/>
  <c r="AAK21" i="21"/>
  <c r="AAJ21" i="21"/>
  <c r="ZV21" i="21"/>
  <c r="ZT21" i="21"/>
  <c r="ZS21" i="21"/>
  <c r="ZQ21" i="21"/>
  <c r="ZP21" i="21"/>
  <c r="ZO21" i="21"/>
  <c r="ZM21" i="21"/>
  <c r="YY21" i="21"/>
  <c r="F68" i="9" s="1"/>
  <c r="YX21" i="21"/>
  <c r="E68" i="9" s="1"/>
  <c r="YW21" i="21"/>
  <c r="YV21" i="21"/>
  <c r="YU21" i="21"/>
  <c r="YH21" i="21"/>
  <c r="YG21" i="21"/>
  <c r="YF21" i="21"/>
  <c r="YE21" i="21"/>
  <c r="YD21" i="21"/>
  <c r="YC21" i="21"/>
  <c r="YB21" i="21"/>
  <c r="YA21" i="21"/>
  <c r="XZ21" i="21"/>
  <c r="XY21" i="21"/>
  <c r="XR21" i="21"/>
  <c r="XW21" i="21" s="1"/>
  <c r="XQ21" i="21"/>
  <c r="XP21" i="21" s="1"/>
  <c r="XN21" i="21"/>
  <c r="XL21" i="21"/>
  <c r="XI21" i="21"/>
  <c r="XH21" i="21"/>
  <c r="XG21" i="21"/>
  <c r="XC21" i="21"/>
  <c r="XB21" i="21"/>
  <c r="XA21" i="21"/>
  <c r="WW21" i="21"/>
  <c r="WV21" i="21"/>
  <c r="WU21" i="21"/>
  <c r="WO21" i="21"/>
  <c r="WN21" i="21"/>
  <c r="WM21" i="21"/>
  <c r="WI21" i="21"/>
  <c r="WH21" i="21"/>
  <c r="WG21" i="21"/>
  <c r="WD21" i="21"/>
  <c r="WB21" i="21"/>
  <c r="VZ21" i="21"/>
  <c r="VX21" i="21"/>
  <c r="VV21" i="21"/>
  <c r="VT21" i="21"/>
  <c r="VR21" i="21"/>
  <c r="UU21" i="21"/>
  <c r="UT21" i="21"/>
  <c r="US21" i="21"/>
  <c r="UR21" i="21"/>
  <c r="UQ21" i="21"/>
  <c r="UP21" i="21"/>
  <c r="KJ16" i="5" s="1"/>
  <c r="UO21" i="21"/>
  <c r="UM21" i="21"/>
  <c r="UL21" i="21"/>
  <c r="UK21" i="21"/>
  <c r="UJ21" i="21"/>
  <c r="UI21" i="21"/>
  <c r="KM16" i="5" s="1"/>
  <c r="UH21" i="21"/>
  <c r="TS21" i="21"/>
  <c r="TR21" i="21"/>
  <c r="TQ21" i="21"/>
  <c r="TP21" i="21"/>
  <c r="TO21" i="21"/>
  <c r="TN21" i="21"/>
  <c r="TM21" i="21"/>
  <c r="TE21" i="21"/>
  <c r="TD21" i="21"/>
  <c r="TC21" i="21"/>
  <c r="TB21" i="21"/>
  <c r="TA21" i="21"/>
  <c r="SZ21" i="21"/>
  <c r="KH16" i="5" s="1"/>
  <c r="SY21" i="21"/>
  <c r="SU21" i="21"/>
  <c r="ST21" i="21"/>
  <c r="SS21" i="21"/>
  <c r="SN21" i="21"/>
  <c r="SM21" i="21"/>
  <c r="SL21" i="21"/>
  <c r="SK21" i="21"/>
  <c r="SG21" i="21"/>
  <c r="SF21" i="21"/>
  <c r="SE21" i="21"/>
  <c r="SA21" i="21"/>
  <c r="RZ21" i="21"/>
  <c r="RY21" i="21"/>
  <c r="RW21" i="21"/>
  <c r="RV21" i="21"/>
  <c r="RO21" i="21"/>
  <c r="RN21" i="21"/>
  <c r="RM21" i="21"/>
  <c r="RI21" i="21"/>
  <c r="RH21" i="21"/>
  <c r="RG21" i="21"/>
  <c r="RC21" i="21"/>
  <c r="RB21" i="21"/>
  <c r="RA21" i="21"/>
  <c r="QW21" i="21"/>
  <c r="QV21" i="21"/>
  <c r="QU21" i="21"/>
  <c r="QS21" i="21"/>
  <c r="QR21" i="21"/>
  <c r="QK21" i="21"/>
  <c r="QJ21" i="21"/>
  <c r="QI21" i="21"/>
  <c r="PZ21" i="21"/>
  <c r="PY21" i="21"/>
  <c r="PT21" i="21"/>
  <c r="PS21" i="21"/>
  <c r="PR21" i="21"/>
  <c r="PQ21" i="21"/>
  <c r="PO21" i="21"/>
  <c r="PN21" i="21"/>
  <c r="PM21" i="21"/>
  <c r="PD21" i="21"/>
  <c r="PC21" i="21"/>
  <c r="PB21" i="21"/>
  <c r="PA21" i="21"/>
  <c r="OV21" i="21"/>
  <c r="OU21" i="21"/>
  <c r="OT21" i="21"/>
  <c r="OS21" i="21"/>
  <c r="ON21" i="21"/>
  <c r="OM21" i="21"/>
  <c r="OL21" i="21"/>
  <c r="OK21" i="21"/>
  <c r="OG21" i="21"/>
  <c r="OF21" i="21"/>
  <c r="OE21" i="21"/>
  <c r="OC21" i="21"/>
  <c r="OB21" i="21"/>
  <c r="NU21" i="21"/>
  <c r="NT21" i="21"/>
  <c r="NS21" i="21"/>
  <c r="NJ21" i="21"/>
  <c r="NI21" i="21"/>
  <c r="NH21" i="21"/>
  <c r="NG21" i="21"/>
  <c r="NF21" i="21"/>
  <c r="NE21" i="21"/>
  <c r="ND21" i="21"/>
  <c r="NC21" i="21"/>
  <c r="MX21" i="21"/>
  <c r="MW21" i="21"/>
  <c r="MV21" i="21"/>
  <c r="MU21" i="21"/>
  <c r="MS21" i="21"/>
  <c r="MR21" i="21"/>
  <c r="MQ21" i="21"/>
  <c r="MH21" i="21"/>
  <c r="MG21" i="21"/>
  <c r="MF21" i="21"/>
  <c r="ME21" i="21"/>
  <c r="LZ21" i="21"/>
  <c r="LY21" i="21"/>
  <c r="LX21" i="21"/>
  <c r="LW21" i="21"/>
  <c r="LS21" i="21"/>
  <c r="LR21" i="21"/>
  <c r="LQ21" i="21"/>
  <c r="LO21" i="21"/>
  <c r="LN21" i="21"/>
  <c r="LE21" i="21"/>
  <c r="LB21" i="21"/>
  <c r="LA21" i="21"/>
  <c r="KU21" i="21"/>
  <c r="KT21" i="21"/>
  <c r="KS21" i="21"/>
  <c r="KR21" i="21"/>
  <c r="KQ21" i="21"/>
  <c r="KM21" i="21"/>
  <c r="KL21" i="21"/>
  <c r="KK21" i="21"/>
  <c r="KI21" i="21"/>
  <c r="KH21" i="21"/>
  <c r="KA21" i="21"/>
  <c r="JZ21" i="21"/>
  <c r="JY21" i="21"/>
  <c r="JU21" i="21"/>
  <c r="JT21" i="21"/>
  <c r="JS21" i="21"/>
  <c r="JO21" i="21"/>
  <c r="JN21" i="21"/>
  <c r="JM21" i="21"/>
  <c r="JI21" i="21"/>
  <c r="JH21" i="21"/>
  <c r="JG21" i="21"/>
  <c r="IS21" i="21"/>
  <c r="IR21" i="21"/>
  <c r="IQ21" i="21"/>
  <c r="IM21" i="21"/>
  <c r="IL21" i="21"/>
  <c r="IK21" i="21"/>
  <c r="II21" i="21"/>
  <c r="IH21" i="21"/>
  <c r="IA21" i="21"/>
  <c r="HZ21" i="21"/>
  <c r="HY21" i="21"/>
  <c r="HU21" i="21"/>
  <c r="HR21" i="21"/>
  <c r="HO21" i="21"/>
  <c r="HN21" i="21"/>
  <c r="HM21" i="21"/>
  <c r="HF21" i="21"/>
  <c r="HK21" i="21" s="1"/>
  <c r="HE21" i="21"/>
  <c r="HD21" i="21" s="1"/>
  <c r="HJ21" i="21" s="1"/>
  <c r="HH21" i="21" s="1"/>
  <c r="GZ21" i="21"/>
  <c r="GY21" i="21"/>
  <c r="GX21" i="21"/>
  <c r="GW21" i="21"/>
  <c r="GI21" i="21"/>
  <c r="GH21" i="21"/>
  <c r="AH17" i="16" s="1"/>
  <c r="GG21" i="21"/>
  <c r="GC21" i="21"/>
  <c r="GB21" i="21"/>
  <c r="GA21" i="21"/>
  <c r="FW21" i="21"/>
  <c r="FV21" i="21"/>
  <c r="FU21" i="21"/>
  <c r="FS21" i="21"/>
  <c r="FR21" i="21"/>
  <c r="FK21" i="21"/>
  <c r="FJ21" i="21"/>
  <c r="FI21" i="21"/>
  <c r="FE21" i="21"/>
  <c r="FD21" i="21"/>
  <c r="FC21" i="21"/>
  <c r="EY21" i="21"/>
  <c r="EX21" i="21"/>
  <c r="EW21" i="21"/>
  <c r="ER21" i="21"/>
  <c r="EQ21" i="21"/>
  <c r="EP21" i="21"/>
  <c r="EO21" i="21"/>
  <c r="EK21" i="21"/>
  <c r="EJ21" i="21"/>
  <c r="EI21" i="21"/>
  <c r="EE21" i="21"/>
  <c r="ED21" i="21"/>
  <c r="EC21" i="21"/>
  <c r="DX21" i="21"/>
  <c r="DW21" i="21"/>
  <c r="DV21" i="21"/>
  <c r="DU21" i="21"/>
  <c r="DM21" i="21"/>
  <c r="DL21" i="21"/>
  <c r="DK21" i="21"/>
  <c r="DC21" i="21"/>
  <c r="DB21" i="21"/>
  <c r="DA21" i="21"/>
  <c r="CZ21" i="21"/>
  <c r="CY21" i="21"/>
  <c r="CX21" i="21"/>
  <c r="CW21" i="21"/>
  <c r="CS21" i="21"/>
  <c r="CR21" i="21"/>
  <c r="CQ21" i="21"/>
  <c r="CN21" i="21"/>
  <c r="CM21" i="21"/>
  <c r="CJ21" i="21"/>
  <c r="CH21" i="21"/>
  <c r="BZ21" i="21"/>
  <c r="BY21" i="21"/>
  <c r="BV21" i="21"/>
  <c r="BT21" i="21"/>
  <c r="BN21" i="21"/>
  <c r="BS21" i="21" s="1"/>
  <c r="BQ21" i="21" s="1"/>
  <c r="BM21" i="21"/>
  <c r="BL21" i="21" s="1"/>
  <c r="BJ21" i="21"/>
  <c r="BI21" i="21"/>
  <c r="BF21" i="21"/>
  <c r="BE21" i="21"/>
  <c r="BD21" i="21" s="1"/>
  <c r="BC21" i="21"/>
  <c r="BB21" i="21" s="1"/>
  <c r="AX21" i="21"/>
  <c r="AW21" i="21"/>
  <c r="AS21" i="21"/>
  <c r="AR21" i="21"/>
  <c r="AQ21" i="21"/>
  <c r="AL21" i="21"/>
  <c r="AG21" i="21"/>
  <c r="AK21" i="21" s="1"/>
  <c r="Z21" i="21"/>
  <c r="T21" i="21"/>
  <c r="S21" i="21"/>
  <c r="N21" i="21"/>
  <c r="L21" i="21"/>
  <c r="K21" i="21"/>
  <c r="H21" i="21"/>
  <c r="F21" i="21"/>
  <c r="AAW20" i="21"/>
  <c r="AAV20" i="21"/>
  <c r="AAS20" i="21"/>
  <c r="AAR20" i="21"/>
  <c r="AAK20" i="21"/>
  <c r="AAJ20" i="21"/>
  <c r="AAD20" i="21" s="1"/>
  <c r="ZV20" i="21"/>
  <c r="ZT20" i="21"/>
  <c r="ZS20" i="21"/>
  <c r="ZQ20" i="21"/>
  <c r="ZP20" i="21"/>
  <c r="ZO20" i="21"/>
  <c r="ZM20" i="21"/>
  <c r="YY20" i="21"/>
  <c r="YX20" i="21"/>
  <c r="ZJ20" i="21" s="1"/>
  <c r="YW20" i="21"/>
  <c r="ZI20" i="21" s="1"/>
  <c r="YV20" i="21"/>
  <c r="ZB20" i="21" s="1"/>
  <c r="YU20" i="21"/>
  <c r="YH20" i="21"/>
  <c r="YG20" i="21"/>
  <c r="YF20" i="21"/>
  <c r="YE20" i="21"/>
  <c r="YD20" i="21"/>
  <c r="YC20" i="21"/>
  <c r="YB20" i="21"/>
  <c r="YA20" i="21"/>
  <c r="XZ20" i="21"/>
  <c r="XY20" i="21"/>
  <c r="XR20" i="21"/>
  <c r="XW20" i="21" s="1"/>
  <c r="XU20" i="21" s="1"/>
  <c r="XQ20" i="21"/>
  <c r="XP20" i="21" s="1"/>
  <c r="XN20" i="21"/>
  <c r="XL20" i="21"/>
  <c r="XI20" i="21"/>
  <c r="XH20" i="21"/>
  <c r="XG20" i="21"/>
  <c r="XC20" i="21"/>
  <c r="XB20" i="21"/>
  <c r="XA20" i="21"/>
  <c r="WW20" i="21"/>
  <c r="WV20" i="21"/>
  <c r="WU20" i="21"/>
  <c r="WO20" i="21"/>
  <c r="WN20" i="21"/>
  <c r="WM20" i="21"/>
  <c r="WI20" i="21"/>
  <c r="WH20" i="21"/>
  <c r="WG20" i="21"/>
  <c r="WD20" i="21"/>
  <c r="WB20" i="21"/>
  <c r="VZ20" i="21"/>
  <c r="VX20" i="21"/>
  <c r="VV20" i="21"/>
  <c r="VT20" i="21"/>
  <c r="VR20" i="21"/>
  <c r="UU20" i="21"/>
  <c r="UT20" i="21"/>
  <c r="US20" i="21"/>
  <c r="UR20" i="21"/>
  <c r="UQ20" i="21"/>
  <c r="UP20" i="21"/>
  <c r="KJ15" i="5" s="1"/>
  <c r="UO20" i="21"/>
  <c r="UM20" i="21"/>
  <c r="UL20" i="21"/>
  <c r="UK20" i="21"/>
  <c r="UJ20" i="21"/>
  <c r="UI20" i="21"/>
  <c r="KM15" i="5" s="1"/>
  <c r="UH20" i="21"/>
  <c r="TS20" i="21"/>
  <c r="TR20" i="21"/>
  <c r="TQ20" i="21"/>
  <c r="TP20" i="21"/>
  <c r="TO20" i="21"/>
  <c r="TN20" i="21"/>
  <c r="TM20" i="21"/>
  <c r="TE20" i="21"/>
  <c r="TD20" i="21"/>
  <c r="TC20" i="21"/>
  <c r="TB20" i="21"/>
  <c r="TA20" i="21"/>
  <c r="SZ20" i="21"/>
  <c r="KH15" i="5" s="1"/>
  <c r="SY20" i="21"/>
  <c r="SU20" i="21"/>
  <c r="ST20" i="21"/>
  <c r="SS20" i="21"/>
  <c r="SN20" i="21"/>
  <c r="SM20" i="21"/>
  <c r="SL20" i="21"/>
  <c r="SK20" i="21"/>
  <c r="SG20" i="21"/>
  <c r="SF20" i="21"/>
  <c r="SE20" i="21"/>
  <c r="SA20" i="21"/>
  <c r="RZ20" i="21"/>
  <c r="RY20" i="21"/>
  <c r="RW20" i="21"/>
  <c r="RV20" i="21"/>
  <c r="RO20" i="21"/>
  <c r="RN20" i="21"/>
  <c r="RM20" i="21"/>
  <c r="RI20" i="21"/>
  <c r="RH20" i="21"/>
  <c r="RG20" i="21"/>
  <c r="RC20" i="21"/>
  <c r="RB20" i="21"/>
  <c r="RA20" i="21"/>
  <c r="QW20" i="21"/>
  <c r="QV20" i="21"/>
  <c r="QU20" i="21"/>
  <c r="QS20" i="21"/>
  <c r="QQ20" i="21" s="1"/>
  <c r="QR20" i="21"/>
  <c r="QK20" i="21"/>
  <c r="QJ20" i="21"/>
  <c r="QI20" i="21"/>
  <c r="PZ20" i="21"/>
  <c r="PY20" i="21"/>
  <c r="PT20" i="21"/>
  <c r="PS20" i="21"/>
  <c r="PR20" i="21"/>
  <c r="PQ20" i="21"/>
  <c r="PO20" i="21"/>
  <c r="PN20" i="21"/>
  <c r="PM20" i="21"/>
  <c r="PD20" i="21"/>
  <c r="PC20" i="21"/>
  <c r="PB20" i="21"/>
  <c r="PA20" i="21"/>
  <c r="OV20" i="21"/>
  <c r="OU20" i="21"/>
  <c r="OT20" i="21"/>
  <c r="OS20" i="21"/>
  <c r="ON20" i="21"/>
  <c r="OM20" i="21"/>
  <c r="OL20" i="21"/>
  <c r="OK20" i="21"/>
  <c r="OG20" i="21"/>
  <c r="OF20" i="21"/>
  <c r="OE20" i="21"/>
  <c r="OC20" i="21"/>
  <c r="OB20" i="21"/>
  <c r="NU20" i="21"/>
  <c r="NT20" i="21"/>
  <c r="NS20" i="21"/>
  <c r="NI20" i="21"/>
  <c r="NQ20" i="21" s="1"/>
  <c r="NH20" i="21"/>
  <c r="NG20" i="21"/>
  <c r="NF20" i="21"/>
  <c r="NE20" i="21"/>
  <c r="ND20" i="21"/>
  <c r="NC20" i="21"/>
  <c r="MX20" i="21"/>
  <c r="MW20" i="21"/>
  <c r="MV20" i="21"/>
  <c r="MU20" i="21"/>
  <c r="MS20" i="21"/>
  <c r="MR20" i="21"/>
  <c r="MQ20" i="21"/>
  <c r="MH20" i="21"/>
  <c r="MG20" i="21"/>
  <c r="MF20" i="21"/>
  <c r="ME20" i="21"/>
  <c r="LZ20" i="21"/>
  <c r="LY20" i="21"/>
  <c r="LX20" i="21"/>
  <c r="LW20" i="21"/>
  <c r="LS20" i="21"/>
  <c r="LR20" i="21"/>
  <c r="LQ20" i="21"/>
  <c r="LO20" i="21"/>
  <c r="LN20" i="21"/>
  <c r="LE20" i="21"/>
  <c r="LB20" i="21"/>
  <c r="LA20" i="21"/>
  <c r="KU20" i="21"/>
  <c r="KT20" i="21"/>
  <c r="KS20" i="21"/>
  <c r="KR20" i="21"/>
  <c r="KQ20" i="21"/>
  <c r="KM20" i="21"/>
  <c r="KL20" i="21"/>
  <c r="KK20" i="21"/>
  <c r="KI20" i="21"/>
  <c r="KH20" i="21"/>
  <c r="KA20" i="21"/>
  <c r="JZ20" i="21"/>
  <c r="JY20" i="21"/>
  <c r="JU20" i="21"/>
  <c r="JT20" i="21"/>
  <c r="JS20" i="21"/>
  <c r="JO20" i="21"/>
  <c r="JN20" i="21"/>
  <c r="JM20" i="21"/>
  <c r="JI20" i="21"/>
  <c r="JH20" i="21"/>
  <c r="JG20" i="21"/>
  <c r="IS20" i="21"/>
  <c r="IR20" i="21"/>
  <c r="IQ20" i="21"/>
  <c r="IM20" i="21"/>
  <c r="IL20" i="21"/>
  <c r="IK20" i="21"/>
  <c r="II20" i="21"/>
  <c r="IH20" i="21"/>
  <c r="IA20" i="21"/>
  <c r="HZ20" i="21"/>
  <c r="HY20" i="21"/>
  <c r="HU20" i="21"/>
  <c r="HR20" i="21"/>
  <c r="HO20" i="21"/>
  <c r="HN20" i="21"/>
  <c r="HM20" i="21"/>
  <c r="HF20" i="21"/>
  <c r="HE20" i="21"/>
  <c r="HD20" i="21" s="1"/>
  <c r="GZ20" i="21"/>
  <c r="GY20" i="21"/>
  <c r="GX20" i="21"/>
  <c r="GW20" i="21"/>
  <c r="GI20" i="21"/>
  <c r="GH20" i="21"/>
  <c r="AH16" i="16" s="1"/>
  <c r="GG20" i="21"/>
  <c r="GC20" i="21"/>
  <c r="GB20" i="21"/>
  <c r="GA20" i="21"/>
  <c r="FW20" i="21"/>
  <c r="FV20" i="21"/>
  <c r="FU20" i="21"/>
  <c r="FS20" i="21"/>
  <c r="FR20" i="21"/>
  <c r="FK20" i="21"/>
  <c r="FJ20" i="21"/>
  <c r="FI20" i="21"/>
  <c r="FE20" i="21"/>
  <c r="FD20" i="21"/>
  <c r="FC20" i="21"/>
  <c r="EY20" i="21"/>
  <c r="EX20" i="21"/>
  <c r="EW20" i="21"/>
  <c r="ER20" i="21"/>
  <c r="EQ20" i="21"/>
  <c r="EP20" i="21"/>
  <c r="EO20" i="21"/>
  <c r="EK20" i="21"/>
  <c r="EJ20" i="21"/>
  <c r="EI20" i="21"/>
  <c r="EE20" i="21"/>
  <c r="ED20" i="21"/>
  <c r="EC20" i="21"/>
  <c r="DX20" i="21"/>
  <c r="DW20" i="21"/>
  <c r="DV20" i="21"/>
  <c r="DU20" i="21"/>
  <c r="DM20" i="21"/>
  <c r="DL20" i="21"/>
  <c r="DK20" i="21"/>
  <c r="DC20" i="21"/>
  <c r="DB20" i="21"/>
  <c r="DA20" i="21"/>
  <c r="CZ20" i="21"/>
  <c r="CY20" i="21"/>
  <c r="CX20" i="21"/>
  <c r="CW20" i="21"/>
  <c r="CS20" i="21"/>
  <c r="CR20" i="21"/>
  <c r="CQ20" i="21"/>
  <c r="CN20" i="21"/>
  <c r="CM20" i="21"/>
  <c r="CJ20" i="21"/>
  <c r="CH20" i="21"/>
  <c r="BZ20" i="21"/>
  <c r="BY20" i="21"/>
  <c r="BV20" i="21"/>
  <c r="BT20" i="21"/>
  <c r="BN20" i="21"/>
  <c r="BS20" i="21" s="1"/>
  <c r="BM20" i="21"/>
  <c r="BL20" i="21" s="1"/>
  <c r="BJ20" i="21"/>
  <c r="BI20" i="21"/>
  <c r="BF20" i="21"/>
  <c r="BE20" i="21"/>
  <c r="BD20" i="21" s="1"/>
  <c r="BC20" i="21"/>
  <c r="BB20" i="21" s="1"/>
  <c r="AX20" i="21"/>
  <c r="AW20" i="21"/>
  <c r="AV20" i="21" s="1"/>
  <c r="AS20" i="21"/>
  <c r="AR20" i="21"/>
  <c r="AQ20" i="21"/>
  <c r="AL20" i="21"/>
  <c r="AG20" i="21"/>
  <c r="AK20" i="21" s="1"/>
  <c r="Z20" i="21"/>
  <c r="E20" i="21" s="1"/>
  <c r="T20" i="21"/>
  <c r="S20" i="21"/>
  <c r="P20" i="21"/>
  <c r="N20" i="21"/>
  <c r="L20" i="21"/>
  <c r="K20" i="21"/>
  <c r="H20" i="21"/>
  <c r="F20" i="21"/>
  <c r="AAW14" i="21"/>
  <c r="AAV14" i="21"/>
  <c r="AAS14" i="21"/>
  <c r="AAR14" i="21"/>
  <c r="AAK14" i="21"/>
  <c r="AAJ14" i="21"/>
  <c r="ZV14" i="21"/>
  <c r="ZT14" i="21"/>
  <c r="ZS14" i="21"/>
  <c r="ZQ14" i="21"/>
  <c r="ZP14" i="21"/>
  <c r="ZO14" i="21"/>
  <c r="ZM14" i="21"/>
  <c r="YY14" i="21"/>
  <c r="YX14" i="21"/>
  <c r="YW14" i="21"/>
  <c r="ZI14" i="21" s="1"/>
  <c r="YV14" i="21"/>
  <c r="ZB14" i="21" s="1"/>
  <c r="YU14" i="21"/>
  <c r="YH14" i="21"/>
  <c r="YG14" i="21"/>
  <c r="YF14" i="21"/>
  <c r="YE14" i="21"/>
  <c r="YD14" i="21"/>
  <c r="YC14" i="21"/>
  <c r="YB14" i="21"/>
  <c r="YA14" i="21"/>
  <c r="XZ14" i="21"/>
  <c r="XY14" i="21"/>
  <c r="XR14" i="21"/>
  <c r="XW14" i="21" s="1"/>
  <c r="XQ14" i="21"/>
  <c r="XP14" i="21" s="1"/>
  <c r="XN14" i="21"/>
  <c r="XL14" i="21"/>
  <c r="XI14" i="21"/>
  <c r="XH14" i="21"/>
  <c r="XG14" i="21"/>
  <c r="XC14" i="21"/>
  <c r="XB14" i="21"/>
  <c r="XA14" i="21"/>
  <c r="WW14" i="21"/>
  <c r="WV14" i="21"/>
  <c r="WU14" i="21"/>
  <c r="WO14" i="21"/>
  <c r="WN14" i="21"/>
  <c r="WM14" i="21"/>
  <c r="WI14" i="21"/>
  <c r="WH14" i="21"/>
  <c r="WG14" i="21"/>
  <c r="WD14" i="21"/>
  <c r="WB14" i="21"/>
  <c r="VZ14" i="21"/>
  <c r="VX14" i="21"/>
  <c r="VV14" i="21"/>
  <c r="VT14" i="21"/>
  <c r="VR14" i="21"/>
  <c r="UU14" i="21"/>
  <c r="UT14" i="21"/>
  <c r="US14" i="21"/>
  <c r="UR14" i="21"/>
  <c r="UQ14" i="21"/>
  <c r="UP14" i="21"/>
  <c r="KJ14" i="5" s="1"/>
  <c r="UO14" i="21"/>
  <c r="UM14" i="21"/>
  <c r="UL14" i="21"/>
  <c r="UK14" i="21"/>
  <c r="UJ14" i="21"/>
  <c r="UI14" i="21"/>
  <c r="KM14" i="5" s="1"/>
  <c r="UH14" i="21"/>
  <c r="TS14" i="21"/>
  <c r="TR14" i="21"/>
  <c r="TQ14" i="21"/>
  <c r="TP14" i="21"/>
  <c r="TO14" i="21"/>
  <c r="TN14" i="21"/>
  <c r="TM14" i="21"/>
  <c r="TE14" i="21"/>
  <c r="TB14" i="21"/>
  <c r="TA14" i="21"/>
  <c r="SZ14" i="21"/>
  <c r="KH14" i="5" s="1"/>
  <c r="SY14" i="21"/>
  <c r="SU14" i="21"/>
  <c r="ST14" i="21"/>
  <c r="SS14" i="21"/>
  <c r="SN14" i="21"/>
  <c r="SM14" i="21"/>
  <c r="SL14" i="21"/>
  <c r="SK14" i="21"/>
  <c r="SG14" i="21"/>
  <c r="SF14" i="21"/>
  <c r="SE14" i="21"/>
  <c r="SA14" i="21"/>
  <c r="RZ14" i="21"/>
  <c r="RY14" i="21"/>
  <c r="RW14" i="21"/>
  <c r="RV14" i="21"/>
  <c r="RO14" i="21"/>
  <c r="RN14" i="21"/>
  <c r="RM14" i="21"/>
  <c r="RI14" i="21"/>
  <c r="RH14" i="21"/>
  <c r="RG14" i="21"/>
  <c r="RC14" i="21"/>
  <c r="RB14" i="21"/>
  <c r="RA14" i="21"/>
  <c r="QW14" i="21"/>
  <c r="QV14" i="21"/>
  <c r="QU14" i="21"/>
  <c r="QS14" i="21"/>
  <c r="QR14" i="21"/>
  <c r="QK14" i="21"/>
  <c r="QJ14" i="21"/>
  <c r="QI14" i="21"/>
  <c r="PZ14" i="21"/>
  <c r="PY14" i="21"/>
  <c r="PT14" i="21"/>
  <c r="PS14" i="21"/>
  <c r="PR14" i="21"/>
  <c r="PQ14" i="21"/>
  <c r="PO14" i="21"/>
  <c r="PN14" i="21"/>
  <c r="PM14" i="21"/>
  <c r="PD14" i="21"/>
  <c r="PC14" i="21"/>
  <c r="PB14" i="21"/>
  <c r="PA14" i="21"/>
  <c r="OV14" i="21"/>
  <c r="OU14" i="21"/>
  <c r="OT14" i="21"/>
  <c r="OS14" i="21"/>
  <c r="ON14" i="21"/>
  <c r="OM14" i="21"/>
  <c r="OL14" i="21"/>
  <c r="OK14" i="21"/>
  <c r="OG14" i="21"/>
  <c r="OF14" i="21"/>
  <c r="OE14" i="21"/>
  <c r="OC14" i="21"/>
  <c r="OB14" i="21"/>
  <c r="NU14" i="21"/>
  <c r="NT14" i="21"/>
  <c r="NS14" i="21"/>
  <c r="NI14" i="21"/>
  <c r="NQ14" i="21" s="1"/>
  <c r="NH14" i="21"/>
  <c r="NG14" i="21"/>
  <c r="NF14" i="21"/>
  <c r="NE14" i="21"/>
  <c r="ND14" i="21"/>
  <c r="NC14" i="21"/>
  <c r="MX14" i="21"/>
  <c r="MW14" i="21"/>
  <c r="MV14" i="21"/>
  <c r="MU14" i="21"/>
  <c r="MS14" i="21"/>
  <c r="MR14" i="21"/>
  <c r="MQ14" i="21"/>
  <c r="MH14" i="21"/>
  <c r="MG14" i="21"/>
  <c r="MF14" i="21"/>
  <c r="ME14" i="21"/>
  <c r="LZ14" i="21"/>
  <c r="LY14" i="21"/>
  <c r="LX14" i="21"/>
  <c r="LW14" i="21"/>
  <c r="LS14" i="21"/>
  <c r="LR14" i="21"/>
  <c r="LQ14" i="21"/>
  <c r="LO14" i="21"/>
  <c r="LN14" i="21"/>
  <c r="LE14" i="21"/>
  <c r="LB14" i="21"/>
  <c r="LA14" i="21"/>
  <c r="KU14" i="21"/>
  <c r="KT14" i="21"/>
  <c r="KS14" i="21"/>
  <c r="KR14" i="21"/>
  <c r="KQ14" i="21"/>
  <c r="KM14" i="21"/>
  <c r="KL14" i="21"/>
  <c r="KK14" i="21"/>
  <c r="KI14" i="21"/>
  <c r="KH14" i="21"/>
  <c r="KA14" i="21"/>
  <c r="JZ14" i="21"/>
  <c r="JY14" i="21"/>
  <c r="JU14" i="21"/>
  <c r="JT14" i="21"/>
  <c r="JS14" i="21"/>
  <c r="JO14" i="21"/>
  <c r="JN14" i="21"/>
  <c r="JM14" i="21"/>
  <c r="JI14" i="21"/>
  <c r="JH14" i="21"/>
  <c r="JG14" i="21"/>
  <c r="IS14" i="21"/>
  <c r="IR14" i="21"/>
  <c r="IQ14" i="21"/>
  <c r="IM14" i="21"/>
  <c r="IL14" i="21"/>
  <c r="IK14" i="21"/>
  <c r="II14" i="21"/>
  <c r="IH14" i="21"/>
  <c r="IA14" i="21"/>
  <c r="HZ14" i="21"/>
  <c r="HY14" i="21"/>
  <c r="HU14" i="21"/>
  <c r="HR14" i="21"/>
  <c r="HO14" i="21"/>
  <c r="HN14" i="21"/>
  <c r="HM14" i="21"/>
  <c r="HF14" i="21"/>
  <c r="HK14" i="21" s="1"/>
  <c r="HE14" i="21"/>
  <c r="HD14" i="21" s="1"/>
  <c r="GZ14" i="21"/>
  <c r="GY14" i="21"/>
  <c r="GX14" i="21"/>
  <c r="GW14" i="21"/>
  <c r="GI14" i="21"/>
  <c r="GH14" i="21"/>
  <c r="AH15" i="16" s="1"/>
  <c r="GG14" i="21"/>
  <c r="GC14" i="21"/>
  <c r="GB14" i="21"/>
  <c r="GA14" i="21"/>
  <c r="FW14" i="21"/>
  <c r="FV14" i="21"/>
  <c r="FU14" i="21"/>
  <c r="FS14" i="21"/>
  <c r="FR14" i="21"/>
  <c r="FK14" i="21"/>
  <c r="FJ14" i="21"/>
  <c r="FI14" i="21"/>
  <c r="FE14" i="21"/>
  <c r="FD14" i="21"/>
  <c r="FC14" i="21"/>
  <c r="EY14" i="21"/>
  <c r="EX14" i="21"/>
  <c r="EW14" i="21"/>
  <c r="ER14" i="21"/>
  <c r="EQ14" i="21"/>
  <c r="EP14" i="21"/>
  <c r="EO14" i="21"/>
  <c r="EK14" i="21"/>
  <c r="EJ14" i="21"/>
  <c r="EI14" i="21"/>
  <c r="EE14" i="21"/>
  <c r="ED14" i="21"/>
  <c r="EC14" i="21"/>
  <c r="DX14" i="21"/>
  <c r="DW14" i="21"/>
  <c r="DV14" i="21"/>
  <c r="DU14" i="21"/>
  <c r="DM14" i="21"/>
  <c r="DL14" i="21"/>
  <c r="DK14" i="21"/>
  <c r="DC14" i="21"/>
  <c r="DB14" i="21"/>
  <c r="DA14" i="21"/>
  <c r="CZ14" i="21"/>
  <c r="CY14" i="21"/>
  <c r="CX14" i="21"/>
  <c r="CW14" i="21"/>
  <c r="CS14" i="21"/>
  <c r="CR14" i="21"/>
  <c r="CQ14" i="21"/>
  <c r="CN14" i="21"/>
  <c r="CM14" i="21"/>
  <c r="CJ14" i="21"/>
  <c r="CH14" i="21"/>
  <c r="BZ14" i="21"/>
  <c r="BY14" i="21"/>
  <c r="BV14" i="21"/>
  <c r="BT14" i="21"/>
  <c r="BN14" i="21"/>
  <c r="BS14" i="21" s="1"/>
  <c r="BQ14" i="21" s="1"/>
  <c r="BM14" i="21"/>
  <c r="BL14" i="21" s="1"/>
  <c r="BJ14" i="21"/>
  <c r="BI14" i="21"/>
  <c r="BF14" i="21"/>
  <c r="BE14" i="21"/>
  <c r="BD14" i="21" s="1"/>
  <c r="BC14" i="21"/>
  <c r="BB14" i="21" s="1"/>
  <c r="AX14" i="21"/>
  <c r="AW14" i="21"/>
  <c r="AV14" i="21" s="1"/>
  <c r="AS14" i="21"/>
  <c r="AR14" i="21"/>
  <c r="AQ14" i="21"/>
  <c r="AL14" i="21"/>
  <c r="AG14" i="21"/>
  <c r="AK14" i="21" s="1"/>
  <c r="Z14" i="21"/>
  <c r="T14" i="21"/>
  <c r="S14" i="21"/>
  <c r="P14" i="21"/>
  <c r="L14" i="21"/>
  <c r="K14" i="21"/>
  <c r="H14" i="21"/>
  <c r="F14" i="21"/>
  <c r="AAW19" i="21"/>
  <c r="AAV19" i="21"/>
  <c r="AAS19" i="21"/>
  <c r="AAR19" i="21"/>
  <c r="AAK19" i="21"/>
  <c r="AAJ19" i="21"/>
  <c r="ZV19" i="21"/>
  <c r="ZT19" i="21"/>
  <c r="ZS19" i="21"/>
  <c r="ZQ19" i="21"/>
  <c r="ZP19" i="21"/>
  <c r="ZO19" i="21"/>
  <c r="ZM19" i="21"/>
  <c r="YY19" i="21"/>
  <c r="YX19" i="21"/>
  <c r="YW19" i="21"/>
  <c r="ZI19" i="21" s="1"/>
  <c r="YV19" i="21"/>
  <c r="YU19" i="21"/>
  <c r="YH19" i="21"/>
  <c r="YG19" i="21"/>
  <c r="YF19" i="21"/>
  <c r="YE19" i="21"/>
  <c r="YD19" i="21"/>
  <c r="YC19" i="21"/>
  <c r="YB19" i="21"/>
  <c r="YA19" i="21"/>
  <c r="XZ19" i="21"/>
  <c r="XY19" i="21"/>
  <c r="XW19" i="21"/>
  <c r="XU19" i="21" s="1"/>
  <c r="XR19" i="21"/>
  <c r="XQ19" i="21"/>
  <c r="XP19" i="21" s="1"/>
  <c r="XN19" i="21"/>
  <c r="XL19" i="21"/>
  <c r="XI19" i="21"/>
  <c r="XH19" i="21"/>
  <c r="XG19" i="21"/>
  <c r="XC19" i="21"/>
  <c r="XB19" i="21"/>
  <c r="XA19" i="21"/>
  <c r="WW19" i="21"/>
  <c r="WV19" i="21"/>
  <c r="WU19" i="21"/>
  <c r="WO19" i="21"/>
  <c r="WN19" i="21"/>
  <c r="WM19" i="21"/>
  <c r="WI19" i="21"/>
  <c r="WH19" i="21"/>
  <c r="WG19" i="21"/>
  <c r="WD19" i="21"/>
  <c r="WB19" i="21"/>
  <c r="VZ19" i="21"/>
  <c r="VX19" i="21"/>
  <c r="VV19" i="21"/>
  <c r="VT19" i="21"/>
  <c r="VR19" i="21"/>
  <c r="UU19" i="21"/>
  <c r="UT19" i="21"/>
  <c r="US19" i="21"/>
  <c r="UR19" i="21"/>
  <c r="UQ19" i="21"/>
  <c r="UP19" i="21"/>
  <c r="KJ13" i="5" s="1"/>
  <c r="UO19" i="21"/>
  <c r="UM19" i="21"/>
  <c r="UL19" i="21"/>
  <c r="UK19" i="21"/>
  <c r="UJ19" i="21"/>
  <c r="UI19" i="21"/>
  <c r="KM13" i="5" s="1"/>
  <c r="UH19" i="21"/>
  <c r="TS19" i="21"/>
  <c r="TR19" i="21"/>
  <c r="TQ19" i="21"/>
  <c r="TP19" i="21"/>
  <c r="TO19" i="21"/>
  <c r="TN19" i="21"/>
  <c r="TM19" i="21"/>
  <c r="TE19" i="21"/>
  <c r="TD19" i="21"/>
  <c r="TC19" i="21"/>
  <c r="TB19" i="21"/>
  <c r="TA19" i="21"/>
  <c r="SZ19" i="21"/>
  <c r="KH13" i="5" s="1"/>
  <c r="SY19" i="21"/>
  <c r="SU19" i="21"/>
  <c r="ST19" i="21"/>
  <c r="SS19" i="21"/>
  <c r="SN19" i="21"/>
  <c r="SM19" i="21"/>
  <c r="SL19" i="21"/>
  <c r="SK19" i="21"/>
  <c r="SG19" i="21"/>
  <c r="SF19" i="21"/>
  <c r="SE19" i="21"/>
  <c r="SA19" i="21"/>
  <c r="RZ19" i="21"/>
  <c r="RY19" i="21"/>
  <c r="RW19" i="21"/>
  <c r="RV19" i="21"/>
  <c r="RO19" i="21"/>
  <c r="RN19" i="21"/>
  <c r="RM19" i="21"/>
  <c r="RI19" i="21"/>
  <c r="RH19" i="21"/>
  <c r="RG19" i="21"/>
  <c r="RC19" i="21"/>
  <c r="RB19" i="21"/>
  <c r="RA19" i="21"/>
  <c r="QW19" i="21"/>
  <c r="QV19" i="21"/>
  <c r="QU19" i="21"/>
  <c r="QS19" i="21"/>
  <c r="QR19" i="21"/>
  <c r="QQ19" i="21" s="1"/>
  <c r="QK19" i="21"/>
  <c r="QJ19" i="21"/>
  <c r="QI19" i="21"/>
  <c r="PZ19" i="21"/>
  <c r="PY19" i="21"/>
  <c r="PT19" i="21"/>
  <c r="PS19" i="21"/>
  <c r="PR19" i="21"/>
  <c r="PQ19" i="21"/>
  <c r="PO19" i="21"/>
  <c r="PN19" i="21"/>
  <c r="PM19" i="21"/>
  <c r="PD19" i="21"/>
  <c r="PC19" i="21"/>
  <c r="PB19" i="21"/>
  <c r="PA19" i="21"/>
  <c r="OV19" i="21"/>
  <c r="OU19" i="21"/>
  <c r="OT19" i="21"/>
  <c r="OS19" i="21"/>
  <c r="ON19" i="21"/>
  <c r="OM19" i="21"/>
  <c r="OL19" i="21"/>
  <c r="OK19" i="21"/>
  <c r="OG19" i="21"/>
  <c r="OF19" i="21"/>
  <c r="OE19" i="21"/>
  <c r="OC19" i="21"/>
  <c r="OB19" i="21"/>
  <c r="NU19" i="21"/>
  <c r="NT19" i="21"/>
  <c r="NS19" i="21"/>
  <c r="NJ19" i="21"/>
  <c r="NI19" i="21"/>
  <c r="NH19" i="21"/>
  <c r="NG19" i="21"/>
  <c r="NF19" i="21"/>
  <c r="NE19" i="21"/>
  <c r="ND19" i="21"/>
  <c r="NC19" i="21"/>
  <c r="MX19" i="21"/>
  <c r="MW19" i="21"/>
  <c r="MV19" i="21"/>
  <c r="MU19" i="21"/>
  <c r="MS19" i="21"/>
  <c r="MR19" i="21"/>
  <c r="MQ19" i="21"/>
  <c r="MH19" i="21"/>
  <c r="MG19" i="21"/>
  <c r="MF19" i="21"/>
  <c r="ME19" i="21"/>
  <c r="LZ19" i="21"/>
  <c r="LY19" i="21"/>
  <c r="LX19" i="21"/>
  <c r="LW19" i="21"/>
  <c r="LS19" i="21"/>
  <c r="LR19" i="21"/>
  <c r="LQ19" i="21"/>
  <c r="LO19" i="21"/>
  <c r="LN19" i="21"/>
  <c r="LE19" i="21"/>
  <c r="LB19" i="21"/>
  <c r="LA19" i="21"/>
  <c r="KU19" i="21"/>
  <c r="KT19" i="21"/>
  <c r="KS19" i="21"/>
  <c r="KR19" i="21"/>
  <c r="KQ19" i="21"/>
  <c r="KM19" i="21"/>
  <c r="KL19" i="21"/>
  <c r="KK19" i="21"/>
  <c r="KI19" i="21"/>
  <c r="KH19" i="21"/>
  <c r="KA19" i="21"/>
  <c r="JZ19" i="21"/>
  <c r="JY19" i="21"/>
  <c r="JU19" i="21"/>
  <c r="JT19" i="21"/>
  <c r="JS19" i="21"/>
  <c r="JO19" i="21"/>
  <c r="JN19" i="21"/>
  <c r="JM19" i="21"/>
  <c r="JI19" i="21"/>
  <c r="JH19" i="21"/>
  <c r="JG19" i="21"/>
  <c r="IS19" i="21"/>
  <c r="IR19" i="21"/>
  <c r="IQ19" i="21"/>
  <c r="IM19" i="21"/>
  <c r="IL19" i="21"/>
  <c r="IK19" i="21"/>
  <c r="II19" i="21"/>
  <c r="IH19" i="21"/>
  <c r="IA19" i="21"/>
  <c r="HZ19" i="21"/>
  <c r="HY19" i="21"/>
  <c r="HU19" i="21"/>
  <c r="HR19" i="21"/>
  <c r="HO19" i="21"/>
  <c r="HN19" i="21"/>
  <c r="HM19" i="21"/>
  <c r="HF19" i="21"/>
  <c r="HK19" i="21" s="1"/>
  <c r="HE19" i="21"/>
  <c r="HD19" i="21" s="1"/>
  <c r="HJ19" i="21" s="1"/>
  <c r="GZ19" i="21"/>
  <c r="GY19" i="21"/>
  <c r="GX19" i="21"/>
  <c r="GW19" i="21"/>
  <c r="GI19" i="21"/>
  <c r="GH19" i="21"/>
  <c r="AH14" i="16" s="1"/>
  <c r="GG19" i="21"/>
  <c r="GC19" i="21"/>
  <c r="GB19" i="21"/>
  <c r="GA19" i="21"/>
  <c r="FW19" i="21"/>
  <c r="FV19" i="21"/>
  <c r="FU19" i="21"/>
  <c r="FS19" i="21"/>
  <c r="FR19" i="21"/>
  <c r="FK19" i="21"/>
  <c r="FJ19" i="21"/>
  <c r="FI19" i="21"/>
  <c r="FE19" i="21"/>
  <c r="FD19" i="21"/>
  <c r="FC19" i="21"/>
  <c r="EY19" i="21"/>
  <c r="EX19" i="21"/>
  <c r="EW19" i="21"/>
  <c r="ER19" i="21"/>
  <c r="EQ19" i="21"/>
  <c r="EP19" i="21"/>
  <c r="EO19" i="21"/>
  <c r="EK19" i="21"/>
  <c r="EJ19" i="21"/>
  <c r="EI19" i="21"/>
  <c r="EE19" i="21"/>
  <c r="ED19" i="21"/>
  <c r="EC19" i="21"/>
  <c r="DX19" i="21"/>
  <c r="DW19" i="21"/>
  <c r="DV19" i="21"/>
  <c r="DU19" i="21"/>
  <c r="DM19" i="21"/>
  <c r="DL19" i="21"/>
  <c r="DK19" i="21"/>
  <c r="DC19" i="21"/>
  <c r="DB19" i="21"/>
  <c r="DA19" i="21"/>
  <c r="CZ19" i="21"/>
  <c r="CY19" i="21"/>
  <c r="CX19" i="21"/>
  <c r="CW19" i="21"/>
  <c r="CS19" i="21"/>
  <c r="CR19" i="21"/>
  <c r="CQ19" i="21"/>
  <c r="CN19" i="21"/>
  <c r="CM19" i="21"/>
  <c r="CJ19" i="21"/>
  <c r="CH19" i="21"/>
  <c r="BZ19" i="21"/>
  <c r="BY19" i="21"/>
  <c r="BV19" i="21"/>
  <c r="BT19" i="21"/>
  <c r="BN19" i="21"/>
  <c r="BM19" i="21"/>
  <c r="BL19" i="21" s="1"/>
  <c r="BJ19" i="21"/>
  <c r="BI19" i="21"/>
  <c r="BF19" i="21"/>
  <c r="BE19" i="21"/>
  <c r="BD19" i="21" s="1"/>
  <c r="BC19" i="21"/>
  <c r="BB19" i="21" s="1"/>
  <c r="AX19" i="21"/>
  <c r="AW19" i="21"/>
  <c r="AS19" i="21"/>
  <c r="AR19" i="21"/>
  <c r="AQ19" i="21"/>
  <c r="AL19" i="21"/>
  <c r="AG19" i="21"/>
  <c r="AK19" i="21" s="1"/>
  <c r="Z19" i="21"/>
  <c r="T19" i="21"/>
  <c r="S19" i="21"/>
  <c r="N19" i="21"/>
  <c r="L19" i="21"/>
  <c r="K19" i="21"/>
  <c r="H19" i="21"/>
  <c r="F19" i="21"/>
  <c r="AAW18" i="21"/>
  <c r="AAV18" i="21"/>
  <c r="AAS18" i="21"/>
  <c r="AAR18" i="21"/>
  <c r="AAK18" i="21"/>
  <c r="AAJ18" i="21"/>
  <c r="AAD18" i="21" s="1"/>
  <c r="ZV18" i="21"/>
  <c r="ZT18" i="21"/>
  <c r="ZS18" i="21"/>
  <c r="ZQ18" i="21"/>
  <c r="ZP18" i="21"/>
  <c r="ZO18" i="21"/>
  <c r="ZM18" i="21"/>
  <c r="YY18" i="21"/>
  <c r="YX18" i="21"/>
  <c r="YW18" i="21"/>
  <c r="ZI18" i="21" s="1"/>
  <c r="YV18" i="21"/>
  <c r="ZB18" i="21" s="1"/>
  <c r="ZZ18" i="21" s="1"/>
  <c r="ZX18" i="21" s="1"/>
  <c r="YU18" i="21"/>
  <c r="YH18" i="21"/>
  <c r="YG18" i="21"/>
  <c r="YF18" i="21"/>
  <c r="YE18" i="21"/>
  <c r="YD18" i="21"/>
  <c r="YC18" i="21"/>
  <c r="YB18" i="21"/>
  <c r="YA18" i="21"/>
  <c r="XZ18" i="21"/>
  <c r="XY18" i="21"/>
  <c r="XR18" i="21"/>
  <c r="XW18" i="21" s="1"/>
  <c r="XU18" i="21" s="1"/>
  <c r="XQ18" i="21"/>
  <c r="XP18" i="21" s="1"/>
  <c r="XN18" i="21"/>
  <c r="XL18" i="21"/>
  <c r="XI18" i="21"/>
  <c r="XH18" i="21"/>
  <c r="XG18" i="21"/>
  <c r="XC18" i="21"/>
  <c r="XB18" i="21"/>
  <c r="XA18" i="21"/>
  <c r="WW18" i="21"/>
  <c r="WV18" i="21"/>
  <c r="WU18" i="21"/>
  <c r="WO18" i="21"/>
  <c r="WN18" i="21"/>
  <c r="WM18" i="21"/>
  <c r="WI18" i="21"/>
  <c r="WH18" i="21"/>
  <c r="WG18" i="21"/>
  <c r="WD18" i="21"/>
  <c r="WB18" i="21"/>
  <c r="VZ18" i="21"/>
  <c r="VX18" i="21"/>
  <c r="VV18" i="21"/>
  <c r="VT18" i="21"/>
  <c r="VR18" i="21"/>
  <c r="UU18" i="21"/>
  <c r="UT18" i="21"/>
  <c r="US18" i="21"/>
  <c r="UR18" i="21"/>
  <c r="UQ18" i="21"/>
  <c r="UP18" i="21"/>
  <c r="KJ12" i="5" s="1"/>
  <c r="UO18" i="21"/>
  <c r="UM18" i="21"/>
  <c r="UL18" i="21"/>
  <c r="UK18" i="21"/>
  <c r="UJ18" i="21"/>
  <c r="UI18" i="21"/>
  <c r="KM12" i="5" s="1"/>
  <c r="UH18" i="21"/>
  <c r="TS18" i="21"/>
  <c r="TR18" i="21"/>
  <c r="TQ18" i="21"/>
  <c r="TP18" i="21"/>
  <c r="TO18" i="21"/>
  <c r="TN18" i="21"/>
  <c r="TM18" i="21"/>
  <c r="TE18" i="21"/>
  <c r="TD18" i="21"/>
  <c r="TC18" i="21"/>
  <c r="TB18" i="21"/>
  <c r="TA18" i="21"/>
  <c r="SZ18" i="21"/>
  <c r="KH12" i="5" s="1"/>
  <c r="SY18" i="21"/>
  <c r="SU18" i="21"/>
  <c r="ST18" i="21"/>
  <c r="SS18" i="21"/>
  <c r="SN18" i="21"/>
  <c r="SM18" i="21"/>
  <c r="SL18" i="21"/>
  <c r="SK18" i="21"/>
  <c r="SG18" i="21"/>
  <c r="SF18" i="21"/>
  <c r="SE18" i="21"/>
  <c r="SA18" i="21"/>
  <c r="RZ18" i="21"/>
  <c r="RY18" i="21"/>
  <c r="RW18" i="21"/>
  <c r="RV18" i="21"/>
  <c r="RO18" i="21"/>
  <c r="RN18" i="21"/>
  <c r="RM18" i="21"/>
  <c r="RI18" i="21"/>
  <c r="RH18" i="21"/>
  <c r="RG18" i="21"/>
  <c r="RC18" i="21"/>
  <c r="RB18" i="21"/>
  <c r="RA18" i="21"/>
  <c r="QW18" i="21"/>
  <c r="QV18" i="21"/>
  <c r="QU18" i="21"/>
  <c r="QS18" i="21"/>
  <c r="QR18" i="21"/>
  <c r="QK18" i="21"/>
  <c r="QJ18" i="21"/>
  <c r="QI18" i="21"/>
  <c r="PZ18" i="21"/>
  <c r="PY18" i="21"/>
  <c r="PT18" i="21"/>
  <c r="PS18" i="21"/>
  <c r="PR18" i="21"/>
  <c r="PQ18" i="21"/>
  <c r="PO18" i="21"/>
  <c r="PN18" i="21"/>
  <c r="PM18" i="21"/>
  <c r="PD18" i="21"/>
  <c r="PC18" i="21"/>
  <c r="PB18" i="21"/>
  <c r="PA18" i="21"/>
  <c r="OV18" i="21"/>
  <c r="OU18" i="21"/>
  <c r="OT18" i="21"/>
  <c r="OS18" i="21"/>
  <c r="ON18" i="21"/>
  <c r="OM18" i="21"/>
  <c r="OL18" i="21"/>
  <c r="OK18" i="21"/>
  <c r="OG18" i="21"/>
  <c r="OF18" i="21"/>
  <c r="OE18" i="21"/>
  <c r="OC18" i="21"/>
  <c r="OB18" i="21"/>
  <c r="NU18" i="21"/>
  <c r="NT18" i="21"/>
  <c r="NS18" i="21"/>
  <c r="NJ18" i="21"/>
  <c r="NI18" i="21"/>
  <c r="NH18" i="21"/>
  <c r="NG18" i="21"/>
  <c r="NF18" i="21"/>
  <c r="NE18" i="21"/>
  <c r="ND18" i="21"/>
  <c r="NC18" i="21"/>
  <c r="MX18" i="21"/>
  <c r="MW18" i="21"/>
  <c r="MV18" i="21"/>
  <c r="MU18" i="21"/>
  <c r="MS18" i="21"/>
  <c r="MR18" i="21"/>
  <c r="MQ18" i="21"/>
  <c r="MH18" i="21"/>
  <c r="MG18" i="21"/>
  <c r="MF18" i="21"/>
  <c r="ME18" i="21"/>
  <c r="LZ18" i="21"/>
  <c r="LY18" i="21"/>
  <c r="LX18" i="21"/>
  <c r="LW18" i="21"/>
  <c r="LS18" i="21"/>
  <c r="LR18" i="21"/>
  <c r="LQ18" i="21"/>
  <c r="LO18" i="21"/>
  <c r="LN18" i="21"/>
  <c r="LE18" i="21"/>
  <c r="LB18" i="21"/>
  <c r="LA18" i="21"/>
  <c r="KU18" i="21"/>
  <c r="KT18" i="21"/>
  <c r="KS18" i="21"/>
  <c r="KR18" i="21"/>
  <c r="KQ18" i="21"/>
  <c r="KM18" i="21"/>
  <c r="KL18" i="21"/>
  <c r="KK18" i="21"/>
  <c r="KI18" i="21"/>
  <c r="KH18" i="21"/>
  <c r="KA18" i="21"/>
  <c r="JZ18" i="21"/>
  <c r="JY18" i="21"/>
  <c r="JU18" i="21"/>
  <c r="JT18" i="21"/>
  <c r="JS18" i="21"/>
  <c r="JO18" i="21"/>
  <c r="JN18" i="21"/>
  <c r="JM18" i="21"/>
  <c r="JI18" i="21"/>
  <c r="JH18" i="21"/>
  <c r="JG18" i="21"/>
  <c r="IS18" i="21"/>
  <c r="IR18" i="21"/>
  <c r="IQ18" i="21"/>
  <c r="IM18" i="21"/>
  <c r="IL18" i="21"/>
  <c r="IK18" i="21"/>
  <c r="II18" i="21"/>
  <c r="IH18" i="21"/>
  <c r="IA18" i="21"/>
  <c r="HZ18" i="21"/>
  <c r="HY18" i="21"/>
  <c r="HU18" i="21"/>
  <c r="HR18" i="21"/>
  <c r="HO18" i="21"/>
  <c r="HN18" i="21"/>
  <c r="HM18" i="21"/>
  <c r="HF18" i="21"/>
  <c r="HK18" i="21" s="1"/>
  <c r="HI18" i="21" s="1"/>
  <c r="HE18" i="21"/>
  <c r="HD18" i="21" s="1"/>
  <c r="HJ18" i="21" s="1"/>
  <c r="GZ18" i="21"/>
  <c r="GY18" i="21"/>
  <c r="GX18" i="21"/>
  <c r="GW18" i="21"/>
  <c r="GI18" i="21"/>
  <c r="GH18" i="21"/>
  <c r="AH13" i="16" s="1"/>
  <c r="GG18" i="21"/>
  <c r="GC18" i="21"/>
  <c r="GB18" i="21"/>
  <c r="GA18" i="21"/>
  <c r="FW18" i="21"/>
  <c r="FV18" i="21"/>
  <c r="FU18" i="21"/>
  <c r="FS18" i="21"/>
  <c r="FR18" i="21"/>
  <c r="FK18" i="21"/>
  <c r="FJ18" i="21"/>
  <c r="FI18" i="21"/>
  <c r="FE18" i="21"/>
  <c r="FD18" i="21"/>
  <c r="FC18" i="21"/>
  <c r="EY18" i="21"/>
  <c r="EX18" i="21"/>
  <c r="EW18" i="21"/>
  <c r="ER18" i="21"/>
  <c r="EQ18" i="21"/>
  <c r="EP18" i="21"/>
  <c r="EO18" i="21"/>
  <c r="EK18" i="21"/>
  <c r="EJ18" i="21"/>
  <c r="EI18" i="21"/>
  <c r="EE18" i="21"/>
  <c r="ED18" i="21"/>
  <c r="EC18" i="21"/>
  <c r="DX18" i="21"/>
  <c r="DW18" i="21"/>
  <c r="DV18" i="21"/>
  <c r="DU18" i="21"/>
  <c r="DM18" i="21"/>
  <c r="DL18" i="21"/>
  <c r="DK18" i="21"/>
  <c r="DC18" i="21"/>
  <c r="DB18" i="21"/>
  <c r="DA18" i="21"/>
  <c r="CZ18" i="21"/>
  <c r="CY18" i="21"/>
  <c r="CX18" i="21"/>
  <c r="CW18" i="21"/>
  <c r="CS18" i="21"/>
  <c r="CR18" i="21"/>
  <c r="CQ18" i="21"/>
  <c r="CN18" i="21"/>
  <c r="CM18" i="21"/>
  <c r="CJ18" i="21"/>
  <c r="CH18" i="21"/>
  <c r="BZ18" i="21"/>
  <c r="BY18" i="21"/>
  <c r="BV18" i="21"/>
  <c r="BT18" i="21"/>
  <c r="BN18" i="21"/>
  <c r="BM18" i="21"/>
  <c r="BL18" i="21" s="1"/>
  <c r="BJ18" i="21"/>
  <c r="BI18" i="21"/>
  <c r="BF18" i="21"/>
  <c r="BE18" i="21"/>
  <c r="BD18" i="21" s="1"/>
  <c r="BC18" i="21"/>
  <c r="BB18" i="21" s="1"/>
  <c r="AX18" i="21"/>
  <c r="AW18" i="21"/>
  <c r="AS18" i="21"/>
  <c r="AR18" i="21"/>
  <c r="AQ18" i="21"/>
  <c r="AL18" i="21"/>
  <c r="AG18" i="21"/>
  <c r="Z18" i="21"/>
  <c r="S18" i="21"/>
  <c r="N18" i="21"/>
  <c r="L18" i="21"/>
  <c r="K18" i="21"/>
  <c r="H18" i="21"/>
  <c r="F18" i="21"/>
  <c r="AAW17" i="21"/>
  <c r="AAV17" i="21"/>
  <c r="AAS17" i="21"/>
  <c r="AAR17" i="21"/>
  <c r="AAK17" i="21"/>
  <c r="AAJ17" i="21"/>
  <c r="ZV17" i="21"/>
  <c r="ZT17" i="21"/>
  <c r="ZS17" i="21"/>
  <c r="ZQ17" i="21"/>
  <c r="ZP17" i="21"/>
  <c r="ZO17" i="21"/>
  <c r="ZM17" i="21"/>
  <c r="YY17" i="21"/>
  <c r="YX17" i="21"/>
  <c r="YW17" i="21"/>
  <c r="ZI17" i="21" s="1"/>
  <c r="YV17" i="21"/>
  <c r="ZB17" i="21" s="1"/>
  <c r="YZ17" i="21" s="1"/>
  <c r="YU17" i="21"/>
  <c r="YH17" i="21"/>
  <c r="YG17" i="21"/>
  <c r="YF17" i="21"/>
  <c r="YE17" i="21"/>
  <c r="YD17" i="21"/>
  <c r="YC17" i="21"/>
  <c r="YB17" i="21"/>
  <c r="YA17" i="21"/>
  <c r="XZ17" i="21"/>
  <c r="XY17" i="21"/>
  <c r="XR17" i="21"/>
  <c r="XQ17" i="21"/>
  <c r="XP17" i="21" s="1"/>
  <c r="XN17" i="21"/>
  <c r="XL17" i="21"/>
  <c r="XI17" i="21"/>
  <c r="XH17" i="21"/>
  <c r="XG17" i="21"/>
  <c r="XC17" i="21"/>
  <c r="XB17" i="21"/>
  <c r="XA17" i="21"/>
  <c r="WW17" i="21"/>
  <c r="WV17" i="21"/>
  <c r="WU17" i="21"/>
  <c r="WO17" i="21"/>
  <c r="WN17" i="21"/>
  <c r="WM17" i="21"/>
  <c r="WI17" i="21"/>
  <c r="WH17" i="21"/>
  <c r="WG17" i="21"/>
  <c r="WD17" i="21"/>
  <c r="WB17" i="21"/>
  <c r="VZ17" i="21"/>
  <c r="VX17" i="21"/>
  <c r="VV17" i="21"/>
  <c r="VT17" i="21"/>
  <c r="VR17" i="21"/>
  <c r="UU17" i="21"/>
  <c r="UT17" i="21"/>
  <c r="US17" i="21"/>
  <c r="UR17" i="21"/>
  <c r="UQ17" i="21"/>
  <c r="UP17" i="21"/>
  <c r="KJ11" i="5" s="1"/>
  <c r="UO17" i="21"/>
  <c r="UM17" i="21"/>
  <c r="UL17" i="21"/>
  <c r="UK17" i="21"/>
  <c r="UJ17" i="21"/>
  <c r="UI17" i="21"/>
  <c r="KM11" i="5" s="1"/>
  <c r="UH17" i="21"/>
  <c r="TS17" i="21"/>
  <c r="TR17" i="21"/>
  <c r="TQ17" i="21"/>
  <c r="TP17" i="21"/>
  <c r="TO17" i="21"/>
  <c r="TN17" i="21"/>
  <c r="TM17" i="21"/>
  <c r="TE17" i="21"/>
  <c r="TD17" i="21"/>
  <c r="TC17" i="21"/>
  <c r="TB17" i="21"/>
  <c r="TA17" i="21"/>
  <c r="SZ17" i="21"/>
  <c r="KH11" i="5" s="1"/>
  <c r="SY17" i="21"/>
  <c r="SU17" i="21"/>
  <c r="ST17" i="21"/>
  <c r="SS17" i="21"/>
  <c r="SN17" i="21"/>
  <c r="SM17" i="21"/>
  <c r="SL17" i="21"/>
  <c r="SK17" i="21"/>
  <c r="SG17" i="21"/>
  <c r="SF17" i="21"/>
  <c r="SE17" i="21"/>
  <c r="SA17" i="21"/>
  <c r="RZ17" i="21"/>
  <c r="RY17" i="21"/>
  <c r="RW17" i="21"/>
  <c r="RV17" i="21"/>
  <c r="RO17" i="21"/>
  <c r="RN17" i="21"/>
  <c r="RM17" i="21"/>
  <c r="RI17" i="21"/>
  <c r="RH17" i="21"/>
  <c r="RG17" i="21"/>
  <c r="RC17" i="21"/>
  <c r="RB17" i="21"/>
  <c r="RA17" i="21"/>
  <c r="QW17" i="21"/>
  <c r="QV17" i="21"/>
  <c r="QU17" i="21"/>
  <c r="QS17" i="21"/>
  <c r="QR17" i="21"/>
  <c r="QK17" i="21"/>
  <c r="QJ17" i="21"/>
  <c r="QI17" i="21"/>
  <c r="PZ17" i="21"/>
  <c r="PY17" i="21"/>
  <c r="PT17" i="21"/>
  <c r="PS17" i="21"/>
  <c r="PR17" i="21"/>
  <c r="PQ17" i="21"/>
  <c r="PO17" i="21"/>
  <c r="PN17" i="21"/>
  <c r="PM17" i="21"/>
  <c r="PD17" i="21"/>
  <c r="PC17" i="21"/>
  <c r="PB17" i="21"/>
  <c r="PA17" i="21"/>
  <c r="OV17" i="21"/>
  <c r="OU17" i="21"/>
  <c r="OT17" i="21"/>
  <c r="OS17" i="21"/>
  <c r="ON17" i="21"/>
  <c r="OM17" i="21"/>
  <c r="OL17" i="21"/>
  <c r="OK17" i="21"/>
  <c r="OG17" i="21"/>
  <c r="OF17" i="21"/>
  <c r="OE17" i="21"/>
  <c r="OC17" i="21"/>
  <c r="OB17" i="21"/>
  <c r="NU17" i="21"/>
  <c r="NT17" i="21"/>
  <c r="NS17" i="21"/>
  <c r="NI17" i="21"/>
  <c r="NH17" i="21"/>
  <c r="NG17" i="21"/>
  <c r="NF17" i="21"/>
  <c r="NE17" i="21"/>
  <c r="ND17" i="21"/>
  <c r="NC17" i="21"/>
  <c r="MX17" i="21"/>
  <c r="MW17" i="21"/>
  <c r="MV17" i="21"/>
  <c r="MU17" i="21"/>
  <c r="MS17" i="21"/>
  <c r="MR17" i="21"/>
  <c r="MQ17" i="21"/>
  <c r="MH17" i="21"/>
  <c r="MG17" i="21"/>
  <c r="MF17" i="21"/>
  <c r="ME17" i="21"/>
  <c r="LZ17" i="21"/>
  <c r="LY17" i="21"/>
  <c r="LX17" i="21"/>
  <c r="LW17" i="21"/>
  <c r="LS17" i="21"/>
  <c r="LR17" i="21"/>
  <c r="LQ17" i="21"/>
  <c r="LO17" i="21"/>
  <c r="LN17" i="21"/>
  <c r="LE17" i="21"/>
  <c r="LB17" i="21"/>
  <c r="LA17" i="21"/>
  <c r="KU17" i="21"/>
  <c r="KT17" i="21"/>
  <c r="KS17" i="21"/>
  <c r="KR17" i="21"/>
  <c r="KQ17" i="21"/>
  <c r="KM17" i="21"/>
  <c r="KL17" i="21"/>
  <c r="KK17" i="21"/>
  <c r="KI17" i="21"/>
  <c r="KH17" i="21"/>
  <c r="KA17" i="21"/>
  <c r="JZ17" i="21"/>
  <c r="JY17" i="21"/>
  <c r="JU17" i="21"/>
  <c r="JT17" i="21"/>
  <c r="JS17" i="21"/>
  <c r="JO17" i="21"/>
  <c r="JN17" i="21"/>
  <c r="JM17" i="21"/>
  <c r="JI17" i="21"/>
  <c r="JH17" i="21"/>
  <c r="JG17" i="21"/>
  <c r="IS17" i="21"/>
  <c r="IR17" i="21"/>
  <c r="IQ17" i="21"/>
  <c r="IM17" i="21"/>
  <c r="IL17" i="21"/>
  <c r="IK17" i="21"/>
  <c r="II17" i="21"/>
  <c r="IH17" i="21"/>
  <c r="IA17" i="21"/>
  <c r="HZ17" i="21"/>
  <c r="HY17" i="21"/>
  <c r="HU17" i="21"/>
  <c r="HR17" i="21"/>
  <c r="HO17" i="21"/>
  <c r="HN17" i="21"/>
  <c r="HM17" i="21"/>
  <c r="HF17" i="21"/>
  <c r="HK17" i="21" s="1"/>
  <c r="HI17" i="21" s="1"/>
  <c r="HE17" i="21"/>
  <c r="HD17" i="21" s="1"/>
  <c r="HJ17" i="21" s="1"/>
  <c r="GZ17" i="21"/>
  <c r="GY17" i="21"/>
  <c r="GX17" i="21"/>
  <c r="GW17" i="21"/>
  <c r="GI17" i="21"/>
  <c r="GH17" i="21"/>
  <c r="AH12" i="16" s="1"/>
  <c r="GG17" i="21"/>
  <c r="GC17" i="21"/>
  <c r="GB17" i="21"/>
  <c r="GA17" i="21"/>
  <c r="FW17" i="21"/>
  <c r="FV17" i="21"/>
  <c r="FU17" i="21"/>
  <c r="FS17" i="21"/>
  <c r="FR17" i="21"/>
  <c r="FK17" i="21"/>
  <c r="FJ17" i="21"/>
  <c r="FI17" i="21"/>
  <c r="FE17" i="21"/>
  <c r="FD17" i="21"/>
  <c r="FC17" i="21"/>
  <c r="EY17" i="21"/>
  <c r="EX17" i="21"/>
  <c r="EW17" i="21"/>
  <c r="ER17" i="21"/>
  <c r="EQ17" i="21"/>
  <c r="EP17" i="21"/>
  <c r="EO17" i="21"/>
  <c r="EK17" i="21"/>
  <c r="EJ17" i="21"/>
  <c r="EI17" i="21"/>
  <c r="EE17" i="21"/>
  <c r="ED17" i="21"/>
  <c r="EC17" i="21"/>
  <c r="DX17" i="21"/>
  <c r="DW17" i="21"/>
  <c r="DV17" i="21"/>
  <c r="DU17" i="21"/>
  <c r="DM17" i="21"/>
  <c r="DS17" i="21" s="1"/>
  <c r="DQ17" i="21" s="1"/>
  <c r="DL17" i="21"/>
  <c r="DK17" i="21"/>
  <c r="DC17" i="21"/>
  <c r="DB17" i="21"/>
  <c r="DA17" i="21"/>
  <c r="CZ17" i="21"/>
  <c r="CY17" i="21"/>
  <c r="CX17" i="21"/>
  <c r="CW17" i="21"/>
  <c r="CS17" i="21"/>
  <c r="CR17" i="21"/>
  <c r="CQ17" i="21"/>
  <c r="CN17" i="21"/>
  <c r="CM17" i="21"/>
  <c r="CJ17" i="21"/>
  <c r="CH17" i="21"/>
  <c r="BZ17" i="21"/>
  <c r="BY17" i="21"/>
  <c r="BV17" i="21"/>
  <c r="BT17" i="21"/>
  <c r="BN17" i="21"/>
  <c r="BS17" i="21" s="1"/>
  <c r="BM17" i="21"/>
  <c r="BL17" i="21" s="1"/>
  <c r="BJ17" i="21"/>
  <c r="BI17" i="21"/>
  <c r="BF17" i="21"/>
  <c r="BE17" i="21"/>
  <c r="BD17" i="21" s="1"/>
  <c r="BC17" i="21"/>
  <c r="BB17" i="21" s="1"/>
  <c r="AX17" i="21"/>
  <c r="AW17" i="21"/>
  <c r="AV17" i="21" s="1"/>
  <c r="AS17" i="21"/>
  <c r="AR17" i="21"/>
  <c r="AQ17" i="21"/>
  <c r="AL17" i="21"/>
  <c r="AG17" i="21"/>
  <c r="AK17" i="21" s="1"/>
  <c r="Z17" i="21"/>
  <c r="T17" i="21"/>
  <c r="S17" i="21"/>
  <c r="N17" i="21"/>
  <c r="L17" i="21"/>
  <c r="K17" i="21"/>
  <c r="H17" i="21"/>
  <c r="F17" i="21"/>
  <c r="AAW13" i="21"/>
  <c r="AAV13" i="21"/>
  <c r="AAS13" i="21"/>
  <c r="AAR13" i="21"/>
  <c r="AAK13" i="21"/>
  <c r="AAJ13" i="21"/>
  <c r="ZX13" i="21"/>
  <c r="ZV13" i="21"/>
  <c r="ZT13" i="21"/>
  <c r="ZS13" i="21"/>
  <c r="ZQ13" i="21"/>
  <c r="ZP13" i="21"/>
  <c r="ZO13" i="21"/>
  <c r="ZN13" i="21"/>
  <c r="ZM13" i="21"/>
  <c r="YZ13" i="21"/>
  <c r="YY13" i="21"/>
  <c r="YX13" i="21"/>
  <c r="YW13" i="21"/>
  <c r="ZI13" i="21" s="1"/>
  <c r="YV13" i="21"/>
  <c r="YU13" i="21"/>
  <c r="YH13" i="21"/>
  <c r="YG13" i="21"/>
  <c r="YF13" i="21"/>
  <c r="YE13" i="21"/>
  <c r="YD13" i="21"/>
  <c r="YC13" i="21"/>
  <c r="YB13" i="21"/>
  <c r="YA13" i="21"/>
  <c r="XZ13" i="21"/>
  <c r="XY13" i="21"/>
  <c r="XR13" i="21"/>
  <c r="XW13" i="21" s="1"/>
  <c r="XQ13" i="21"/>
  <c r="XN13" i="21"/>
  <c r="XL13" i="21"/>
  <c r="XI13" i="21"/>
  <c r="XH13" i="21"/>
  <c r="XG13" i="21"/>
  <c r="XC13" i="21"/>
  <c r="XB13" i="21"/>
  <c r="XA13" i="21"/>
  <c r="WW13" i="21"/>
  <c r="WV13" i="21"/>
  <c r="WU13" i="21"/>
  <c r="WO13" i="21"/>
  <c r="WN13" i="21"/>
  <c r="WM13" i="21"/>
  <c r="WI13" i="21"/>
  <c r="WH13" i="21"/>
  <c r="WG13" i="21"/>
  <c r="WD13" i="21"/>
  <c r="WB13" i="21"/>
  <c r="VZ13" i="21"/>
  <c r="VX13" i="21"/>
  <c r="VV13" i="21"/>
  <c r="VT13" i="21"/>
  <c r="VR13" i="21"/>
  <c r="UU13" i="21"/>
  <c r="UT13" i="21"/>
  <c r="US13" i="21"/>
  <c r="UR13" i="21"/>
  <c r="UQ13" i="21"/>
  <c r="UP13" i="21"/>
  <c r="KJ10" i="5" s="1"/>
  <c r="UO13" i="21"/>
  <c r="UM13" i="21"/>
  <c r="UL13" i="21"/>
  <c r="UK13" i="21"/>
  <c r="UJ13" i="21"/>
  <c r="UI13" i="21"/>
  <c r="KM10" i="5" s="1"/>
  <c r="UH13" i="21"/>
  <c r="TS13" i="21"/>
  <c r="TR13" i="21"/>
  <c r="TQ13" i="21"/>
  <c r="TP13" i="21"/>
  <c r="TO13" i="21"/>
  <c r="TN13" i="21"/>
  <c r="TM13" i="21"/>
  <c r="TE13" i="21"/>
  <c r="TD13" i="21"/>
  <c r="TC13" i="21"/>
  <c r="TB13" i="21"/>
  <c r="TA13" i="21"/>
  <c r="SZ13" i="21"/>
  <c r="SY13" i="21"/>
  <c r="SU13" i="21"/>
  <c r="ST13" i="21"/>
  <c r="SS13" i="21"/>
  <c r="SN13" i="21"/>
  <c r="SM13" i="21"/>
  <c r="SL13" i="21"/>
  <c r="SK13" i="21"/>
  <c r="SG13" i="21"/>
  <c r="SF13" i="21"/>
  <c r="SE13" i="21"/>
  <c r="SA13" i="21"/>
  <c r="RZ13" i="21"/>
  <c r="RY13" i="21"/>
  <c r="RW13" i="21"/>
  <c r="RV13" i="21"/>
  <c r="RU13" i="21" s="1"/>
  <c r="RO13" i="21"/>
  <c r="RN13" i="21"/>
  <c r="RM13" i="21"/>
  <c r="RI13" i="21"/>
  <c r="RH13" i="21"/>
  <c r="RG13" i="21"/>
  <c r="RC13" i="21"/>
  <c r="RB13" i="21"/>
  <c r="RA13" i="21"/>
  <c r="QW13" i="21"/>
  <c r="QV13" i="21"/>
  <c r="QU13" i="21"/>
  <c r="QS13" i="21"/>
  <c r="QR13" i="21"/>
  <c r="QK13" i="21"/>
  <c r="QJ13" i="21"/>
  <c r="QI13" i="21"/>
  <c r="PZ13" i="21"/>
  <c r="PY13" i="21"/>
  <c r="PT13" i="21"/>
  <c r="PS13" i="21"/>
  <c r="PR13" i="21"/>
  <c r="PQ13" i="21"/>
  <c r="PO13" i="21"/>
  <c r="PN13" i="21"/>
  <c r="PM13" i="21"/>
  <c r="PD13" i="21"/>
  <c r="PC13" i="21"/>
  <c r="PB13" i="21"/>
  <c r="PA13" i="21"/>
  <c r="OV13" i="21"/>
  <c r="OU13" i="21"/>
  <c r="OT13" i="21"/>
  <c r="OS13" i="21"/>
  <c r="ON13" i="21"/>
  <c r="OM13" i="21"/>
  <c r="OL13" i="21"/>
  <c r="OK13" i="21"/>
  <c r="OG13" i="21"/>
  <c r="OF13" i="21"/>
  <c r="OE13" i="21"/>
  <c r="OC13" i="21"/>
  <c r="OB13" i="21"/>
  <c r="NU13" i="21"/>
  <c r="NT13" i="21"/>
  <c r="NS13" i="21"/>
  <c r="NJ13" i="21"/>
  <c r="NI13" i="21"/>
  <c r="NH13" i="21"/>
  <c r="NG13" i="21"/>
  <c r="NF13" i="21"/>
  <c r="NE13" i="21"/>
  <c r="ND13" i="21"/>
  <c r="NC13" i="21"/>
  <c r="MX13" i="21"/>
  <c r="MW13" i="21"/>
  <c r="MV13" i="21"/>
  <c r="MU13" i="21"/>
  <c r="MS13" i="21"/>
  <c r="MR13" i="21"/>
  <c r="MQ13" i="21"/>
  <c r="MH13" i="21"/>
  <c r="MG13" i="21"/>
  <c r="MF13" i="21"/>
  <c r="ME13" i="21"/>
  <c r="LZ13" i="21"/>
  <c r="LY13" i="21"/>
  <c r="LX13" i="21"/>
  <c r="LW13" i="21"/>
  <c r="LS13" i="21"/>
  <c r="LR13" i="21"/>
  <c r="LQ13" i="21"/>
  <c r="LO13" i="21"/>
  <c r="LN13" i="21"/>
  <c r="LE13" i="21"/>
  <c r="LB13" i="21"/>
  <c r="LA13" i="21"/>
  <c r="KU13" i="21"/>
  <c r="KT13" i="21"/>
  <c r="KS13" i="21"/>
  <c r="KR13" i="21"/>
  <c r="KQ13" i="21"/>
  <c r="KM13" i="21"/>
  <c r="KL13" i="21"/>
  <c r="KK13" i="21"/>
  <c r="KI13" i="21"/>
  <c r="KH13" i="21"/>
  <c r="KA13" i="21"/>
  <c r="JZ13" i="21"/>
  <c r="JY13" i="21"/>
  <c r="JU13" i="21"/>
  <c r="JT13" i="21"/>
  <c r="JS13" i="21"/>
  <c r="JO13" i="21"/>
  <c r="JN13" i="21"/>
  <c r="JM13" i="21"/>
  <c r="JI13" i="21"/>
  <c r="JH13" i="21"/>
  <c r="JG13" i="21"/>
  <c r="IS13" i="21"/>
  <c r="IR13" i="21"/>
  <c r="IQ13" i="21"/>
  <c r="IM13" i="21"/>
  <c r="IL13" i="21"/>
  <c r="IK13" i="21"/>
  <c r="II13" i="21"/>
  <c r="IH13" i="21"/>
  <c r="IA13" i="21"/>
  <c r="HZ13" i="21"/>
  <c r="HY13" i="21"/>
  <c r="HU13" i="21"/>
  <c r="HR13" i="21"/>
  <c r="HO13" i="21"/>
  <c r="HN13" i="21"/>
  <c r="HM13" i="21"/>
  <c r="HF13" i="21"/>
  <c r="HK13" i="21" s="1"/>
  <c r="HE13" i="21"/>
  <c r="HD13" i="21" s="1"/>
  <c r="HJ13" i="21" s="1"/>
  <c r="GZ13" i="21"/>
  <c r="GY13" i="21"/>
  <c r="GX13" i="21"/>
  <c r="GW13" i="21"/>
  <c r="GI13" i="21"/>
  <c r="GH13" i="21"/>
  <c r="AH11" i="16" s="1"/>
  <c r="GG13" i="21"/>
  <c r="GC13" i="21"/>
  <c r="GB13" i="21"/>
  <c r="GA13" i="21"/>
  <c r="FW13" i="21"/>
  <c r="FV13" i="21"/>
  <c r="FU13" i="21"/>
  <c r="FS13" i="21"/>
  <c r="FR13" i="21"/>
  <c r="FK13" i="21"/>
  <c r="FJ13" i="21"/>
  <c r="FI13" i="21"/>
  <c r="FE13" i="21"/>
  <c r="FD13" i="21"/>
  <c r="FC13" i="21"/>
  <c r="EY13" i="21"/>
  <c r="EX13" i="21"/>
  <c r="EW13" i="21"/>
  <c r="ER13" i="21"/>
  <c r="EQ13" i="21"/>
  <c r="EP13" i="21"/>
  <c r="EO13" i="21"/>
  <c r="EK13" i="21"/>
  <c r="EJ13" i="21"/>
  <c r="EI13" i="21"/>
  <c r="EE13" i="21"/>
  <c r="ED13" i="21"/>
  <c r="EC13" i="21"/>
  <c r="DX13" i="21"/>
  <c r="DW13" i="21"/>
  <c r="DV13" i="21"/>
  <c r="DU13" i="21"/>
  <c r="DM13" i="21"/>
  <c r="DS13" i="21" s="1"/>
  <c r="DQ13" i="21" s="1"/>
  <c r="DL13" i="21"/>
  <c r="DK13" i="21"/>
  <c r="DC13" i="21"/>
  <c r="DB13" i="21"/>
  <c r="DA13" i="21"/>
  <c r="CZ13" i="21"/>
  <c r="CY13" i="21"/>
  <c r="CX13" i="21"/>
  <c r="CW13" i="21"/>
  <c r="CS13" i="21"/>
  <c r="CR13" i="21"/>
  <c r="CQ13" i="21"/>
  <c r="CN13" i="21"/>
  <c r="CM13" i="21"/>
  <c r="CJ13" i="21"/>
  <c r="CH13" i="21"/>
  <c r="BZ13" i="21"/>
  <c r="BY13" i="21"/>
  <c r="BV13" i="21"/>
  <c r="BT13" i="21"/>
  <c r="BN13" i="21"/>
  <c r="BS13" i="21" s="1"/>
  <c r="BM13" i="21"/>
  <c r="BL13" i="21" s="1"/>
  <c r="BJ13" i="21"/>
  <c r="BI13" i="21"/>
  <c r="BF13" i="21"/>
  <c r="BE13" i="21"/>
  <c r="BC13" i="21"/>
  <c r="BB13" i="21" s="1"/>
  <c r="AX13" i="21"/>
  <c r="AW13" i="21"/>
  <c r="AS13" i="21"/>
  <c r="AR13" i="21"/>
  <c r="AQ13" i="21"/>
  <c r="AL13" i="21"/>
  <c r="AG13" i="21"/>
  <c r="AK13" i="21" s="1"/>
  <c r="Z13" i="21"/>
  <c r="T13" i="21"/>
  <c r="S13" i="21"/>
  <c r="P13" i="21"/>
  <c r="N13" i="21"/>
  <c r="L13" i="21"/>
  <c r="K13" i="21"/>
  <c r="H13" i="21"/>
  <c r="F13" i="21"/>
  <c r="E3" i="21"/>
  <c r="ZJ16" i="21" l="1"/>
  <c r="XD41" i="21"/>
  <c r="NP29" i="21"/>
  <c r="NJ29" i="21"/>
  <c r="RL13" i="21"/>
  <c r="SR21" i="21"/>
  <c r="FZ16" i="21"/>
  <c r="RX16" i="21"/>
  <c r="SR17" i="21"/>
  <c r="SR23" i="21"/>
  <c r="SR27" i="21"/>
  <c r="FZ14" i="21"/>
  <c r="RX14" i="21"/>
  <c r="SR22" i="21"/>
  <c r="PX15" i="21"/>
  <c r="RL15" i="21"/>
  <c r="FZ20" i="21"/>
  <c r="FZ15" i="21"/>
  <c r="FZ26" i="21"/>
  <c r="FZ25" i="21"/>
  <c r="FZ28" i="21"/>
  <c r="SR19" i="21"/>
  <c r="PX14" i="21"/>
  <c r="RL14" i="21"/>
  <c r="SR25" i="21"/>
  <c r="SR28" i="21"/>
  <c r="NP16" i="21"/>
  <c r="RX15" i="21"/>
  <c r="NP14" i="21"/>
  <c r="PX17" i="21"/>
  <c r="SR20" i="21"/>
  <c r="SR15" i="21"/>
  <c r="SR26" i="21"/>
  <c r="RL16" i="21"/>
  <c r="NP17" i="21"/>
  <c r="SR16" i="21"/>
  <c r="FZ21" i="21"/>
  <c r="FZ18" i="21"/>
  <c r="RX13" i="21"/>
  <c r="FZ17" i="21"/>
  <c r="SR18" i="21"/>
  <c r="PX19" i="21"/>
  <c r="FZ23" i="21"/>
  <c r="SR24" i="21"/>
  <c r="FZ27" i="21"/>
  <c r="PX28" i="21"/>
  <c r="FZ19" i="21"/>
  <c r="FZ13" i="21"/>
  <c r="SR14" i="21"/>
  <c r="FZ22" i="21"/>
  <c r="FZ24" i="21"/>
  <c r="PX16" i="21"/>
  <c r="PX22" i="21"/>
  <c r="PX29" i="21"/>
  <c r="PX30" i="21"/>
  <c r="PX21" i="21"/>
  <c r="PX25" i="21"/>
  <c r="PX26" i="21"/>
  <c r="PX13" i="21"/>
  <c r="PX18" i="21"/>
  <c r="PX27" i="21"/>
  <c r="PX20" i="21"/>
  <c r="PX23" i="21"/>
  <c r="PX24" i="21"/>
  <c r="CO38" i="21"/>
  <c r="FM41" i="21"/>
  <c r="HB41" i="21"/>
  <c r="HV41" i="21"/>
  <c r="FL41" i="21"/>
  <c r="LM26" i="21"/>
  <c r="NQ42" i="21"/>
  <c r="DC35" i="21"/>
  <c r="DC43" i="21" s="1"/>
  <c r="DX35" i="21"/>
  <c r="DX43" i="21" s="1"/>
  <c r="XW28" i="21"/>
  <c r="H50" i="9"/>
  <c r="FD35" i="21"/>
  <c r="FD43" i="21" s="1"/>
  <c r="NP23" i="21"/>
  <c r="OH22" i="21"/>
  <c r="OG22" i="21" s="1"/>
  <c r="OG31" i="21" s="1"/>
  <c r="NP20" i="21"/>
  <c r="OC22" i="21"/>
  <c r="OC31" i="21" s="1"/>
  <c r="NP24" i="21"/>
  <c r="NP15" i="21"/>
  <c r="NP22" i="21"/>
  <c r="NJ22" i="21" s="1"/>
  <c r="NP26" i="21"/>
  <c r="NV31" i="21"/>
  <c r="NV41" i="21" s="1"/>
  <c r="NW31" i="21"/>
  <c r="NW41" i="21" s="1"/>
  <c r="AD43" i="21"/>
  <c r="NQ31" i="21"/>
  <c r="NU22" i="21"/>
  <c r="NU31" i="21" s="1"/>
  <c r="HO35" i="21"/>
  <c r="HO43" i="21" s="1"/>
  <c r="ER35" i="21"/>
  <c r="ER43" i="21" s="1"/>
  <c r="IG16" i="21"/>
  <c r="LM18" i="21"/>
  <c r="LM16" i="21"/>
  <c r="LM42" i="21" s="1"/>
  <c r="LM15" i="21"/>
  <c r="RU16" i="21"/>
  <c r="LM27" i="21"/>
  <c r="LM21" i="21"/>
  <c r="QQ18" i="21"/>
  <c r="AAE18" i="21"/>
  <c r="QQ28" i="21"/>
  <c r="E29" i="21"/>
  <c r="E13" i="21"/>
  <c r="AAD13" i="21"/>
  <c r="ID34" i="21"/>
  <c r="AAE20" i="21"/>
  <c r="OA16" i="21"/>
  <c r="LM13" i="21"/>
  <c r="FQ22" i="21"/>
  <c r="RU29" i="21"/>
  <c r="AAD19" i="21"/>
  <c r="BQ20" i="21"/>
  <c r="E25" i="21"/>
  <c r="AAE26" i="21"/>
  <c r="AAE28" i="21"/>
  <c r="LM30" i="21"/>
  <c r="AAE30" i="21"/>
  <c r="AAW31" i="21"/>
  <c r="XU14" i="21"/>
  <c r="AAD14" i="21"/>
  <c r="LM20" i="21"/>
  <c r="EE35" i="21"/>
  <c r="EE43" i="21" s="1"/>
  <c r="GI35" i="21"/>
  <c r="GI43" i="21" s="1"/>
  <c r="LM14" i="21"/>
  <c r="AAE21" i="21"/>
  <c r="E24" i="21"/>
  <c r="QQ25" i="21"/>
  <c r="AAE16" i="21"/>
  <c r="RU20" i="21"/>
  <c r="QQ22" i="21"/>
  <c r="UG16" i="21"/>
  <c r="KG30" i="21"/>
  <c r="E34" i="21"/>
  <c r="AAD17" i="21"/>
  <c r="AAE19" i="21"/>
  <c r="DS20" i="21"/>
  <c r="DQ20" i="21" s="1"/>
  <c r="AAD26" i="21"/>
  <c r="AAD28" i="21"/>
  <c r="AAV31" i="21"/>
  <c r="HH35" i="21"/>
  <c r="HH43" i="21" s="1"/>
  <c r="KG25" i="21"/>
  <c r="AP12" i="16"/>
  <c r="ES11" i="5" s="1"/>
  <c r="ET11" i="5"/>
  <c r="AP14" i="16"/>
  <c r="ES13" i="5" s="1"/>
  <c r="ET13" i="5"/>
  <c r="AP17" i="16"/>
  <c r="ES16" i="5" s="1"/>
  <c r="ET16" i="5"/>
  <c r="AP19" i="16"/>
  <c r="ES18" i="5" s="1"/>
  <c r="ET18" i="5"/>
  <c r="AP22" i="16"/>
  <c r="ES21" i="5" s="1"/>
  <c r="ET21" i="5"/>
  <c r="AP27" i="16"/>
  <c r="ES26" i="5" s="1"/>
  <c r="ET26" i="5"/>
  <c r="AP24" i="16"/>
  <c r="ES23" i="5" s="1"/>
  <c r="ET23" i="5"/>
  <c r="AP13" i="16"/>
  <c r="ES12" i="5" s="1"/>
  <c r="ET12" i="5"/>
  <c r="PK29" i="21"/>
  <c r="AP21" i="16"/>
  <c r="ES20" i="5" s="1"/>
  <c r="ET20" i="5"/>
  <c r="AP23" i="16"/>
  <c r="ES22" i="5" s="1"/>
  <c r="ET22" i="5"/>
  <c r="AP25" i="16"/>
  <c r="ES24" i="5" s="1"/>
  <c r="ET24" i="5"/>
  <c r="AP28" i="16"/>
  <c r="ES27" i="5" s="1"/>
  <c r="EV27" i="5" s="1"/>
  <c r="ET27" i="5"/>
  <c r="AP16" i="16"/>
  <c r="ES15" i="5" s="1"/>
  <c r="ET15" i="5"/>
  <c r="AP18" i="16"/>
  <c r="ES17" i="5" s="1"/>
  <c r="ET17" i="5"/>
  <c r="AP20" i="16"/>
  <c r="ES19" i="5" s="1"/>
  <c r="ET19" i="5"/>
  <c r="AP15" i="16"/>
  <c r="ES14" i="5" s="1"/>
  <c r="ET14" i="5"/>
  <c r="AP26" i="16"/>
  <c r="ES25" i="5" s="1"/>
  <c r="ET25" i="5"/>
  <c r="UG17" i="21"/>
  <c r="AAD22" i="21"/>
  <c r="RU23" i="21"/>
  <c r="BS28" i="21"/>
  <c r="BQ28" i="21" s="1"/>
  <c r="RU17" i="21"/>
  <c r="E22" i="21"/>
  <c r="IG13" i="21"/>
  <c r="QQ14" i="21"/>
  <c r="AAD21" i="21"/>
  <c r="LM22" i="21"/>
  <c r="QQ23" i="21"/>
  <c r="AAD24" i="21"/>
  <c r="AAE25" i="21"/>
  <c r="AAE27" i="21"/>
  <c r="KN38" i="21"/>
  <c r="SB41" i="21"/>
  <c r="WJ41" i="21"/>
  <c r="AAH41" i="21"/>
  <c r="AAT41" i="21"/>
  <c r="IG24" i="21"/>
  <c r="OA24" i="21"/>
  <c r="IG25" i="21"/>
  <c r="QQ16" i="21"/>
  <c r="HW38" i="21"/>
  <c r="AAE17" i="21"/>
  <c r="E23" i="21"/>
  <c r="AH41" i="21"/>
  <c r="DN41" i="21"/>
  <c r="LH41" i="21"/>
  <c r="MJ41" i="21"/>
  <c r="LM19" i="21"/>
  <c r="QQ15" i="21"/>
  <c r="AAD15" i="21"/>
  <c r="BQ23" i="21"/>
  <c r="AAE23" i="21"/>
  <c r="UG25" i="21"/>
  <c r="E16" i="21"/>
  <c r="AAD16" i="21"/>
  <c r="QQ29" i="21"/>
  <c r="IG30" i="21"/>
  <c r="AAD30" i="21"/>
  <c r="HT35" i="21"/>
  <c r="HT43" i="21" s="1"/>
  <c r="IJ35" i="21"/>
  <c r="IJ43" i="21" s="1"/>
  <c r="JM35" i="21"/>
  <c r="JM43" i="21" s="1"/>
  <c r="MP35" i="21"/>
  <c r="MP43" i="21" s="1"/>
  <c r="OV35" i="21"/>
  <c r="OV43" i="21" s="1"/>
  <c r="YZ35" i="21"/>
  <c r="YZ43" i="21" s="1"/>
  <c r="ZO35" i="21"/>
  <c r="ZO43" i="21" s="1"/>
  <c r="QQ17" i="21"/>
  <c r="E14" i="21"/>
  <c r="UG14" i="21"/>
  <c r="RU15" i="21"/>
  <c r="QQ27" i="21"/>
  <c r="E28" i="21"/>
  <c r="UG28" i="21"/>
  <c r="PL29" i="21"/>
  <c r="XU29" i="21"/>
  <c r="TV41" i="21"/>
  <c r="NR35" i="21"/>
  <c r="NR43" i="21" s="1"/>
  <c r="RX35" i="21"/>
  <c r="RX43" i="21" s="1"/>
  <c r="SN35" i="21"/>
  <c r="SN43" i="21" s="1"/>
  <c r="TE35" i="21"/>
  <c r="TE43" i="21" s="1"/>
  <c r="XP35" i="21"/>
  <c r="XP43" i="21" s="1"/>
  <c r="ZR35" i="21"/>
  <c r="ZR43" i="21" s="1"/>
  <c r="HJ35" i="21"/>
  <c r="HJ43" i="21" s="1"/>
  <c r="AAV35" i="21"/>
  <c r="AAT38" i="21"/>
  <c r="SB38" i="21"/>
  <c r="ET10" i="5"/>
  <c r="AP11" i="16"/>
  <c r="AAE14" i="21"/>
  <c r="RU21" i="21"/>
  <c r="XU27" i="21"/>
  <c r="AAW35" i="21"/>
  <c r="IG17" i="21"/>
  <c r="OA17" i="21"/>
  <c r="RU18" i="21"/>
  <c r="UG18" i="21"/>
  <c r="KG19" i="21"/>
  <c r="RU19" i="21"/>
  <c r="UG19" i="21"/>
  <c r="KG14" i="21"/>
  <c r="QQ21" i="21"/>
  <c r="RU26" i="21"/>
  <c r="FQ28" i="21"/>
  <c r="XU28" i="21"/>
  <c r="UG29" i="21"/>
  <c r="UG30" i="21"/>
  <c r="DH41" i="21"/>
  <c r="LM17" i="21"/>
  <c r="RU14" i="21"/>
  <c r="XU21" i="21"/>
  <c r="IG15" i="21"/>
  <c r="AAE15" i="21"/>
  <c r="BQ24" i="21"/>
  <c r="QQ24" i="21"/>
  <c r="BQ26" i="21"/>
  <c r="DS26" i="21"/>
  <c r="DQ26" i="21" s="1"/>
  <c r="QQ26" i="21"/>
  <c r="HI29" i="21"/>
  <c r="II35" i="21"/>
  <c r="II43" i="21" s="1"/>
  <c r="JI35" i="21"/>
  <c r="JI43" i="21" s="1"/>
  <c r="ML35" i="21"/>
  <c r="ML43" i="21" s="1"/>
  <c r="RL35" i="21"/>
  <c r="RL43" i="21" s="1"/>
  <c r="WO35" i="21"/>
  <c r="WO43" i="21" s="1"/>
  <c r="YT35" i="21"/>
  <c r="YT43" i="21" s="1"/>
  <c r="DS19" i="21"/>
  <c r="DQ19" i="21" s="1"/>
  <c r="AAD23" i="21"/>
  <c r="AAE24" i="21"/>
  <c r="AAD25" i="21"/>
  <c r="BS29" i="21"/>
  <c r="BQ29" i="21" s="1"/>
  <c r="Z35" i="21"/>
  <c r="Z43" i="21" s="1"/>
  <c r="UG20" i="21"/>
  <c r="LM23" i="21"/>
  <c r="UG23" i="21"/>
  <c r="LM24" i="21"/>
  <c r="UG24" i="21"/>
  <c r="LM25" i="21"/>
  <c r="DS16" i="21"/>
  <c r="DQ16" i="21" s="1"/>
  <c r="IG29" i="21"/>
  <c r="RU30" i="21"/>
  <c r="IU38" i="21"/>
  <c r="IG34" i="21"/>
  <c r="IG35" i="21" s="1"/>
  <c r="IG43" i="21" s="1"/>
  <c r="LH38" i="21"/>
  <c r="IG14" i="21"/>
  <c r="IG23" i="21"/>
  <c r="FQ24" i="21"/>
  <c r="HI24" i="21"/>
  <c r="MP26" i="21"/>
  <c r="IG28" i="21"/>
  <c r="PL30" i="21"/>
  <c r="M41" i="21"/>
  <c r="FQ34" i="21"/>
  <c r="IH35" i="21"/>
  <c r="IH43" i="21" s="1"/>
  <c r="ZK17" i="21"/>
  <c r="KG17" i="21"/>
  <c r="KG22" i="21"/>
  <c r="MP23" i="21"/>
  <c r="PL13" i="21"/>
  <c r="PL17" i="21"/>
  <c r="IG22" i="21"/>
  <c r="HQ38" i="21"/>
  <c r="HQ48" i="21" s="1"/>
  <c r="ZL13" i="21"/>
  <c r="OA23" i="21"/>
  <c r="IG27" i="21"/>
  <c r="KG28" i="21"/>
  <c r="IG18" i="21"/>
  <c r="OA18" i="21"/>
  <c r="IG19" i="21"/>
  <c r="FQ14" i="21"/>
  <c r="IG20" i="21"/>
  <c r="FQ15" i="21"/>
  <c r="FQ33" i="21"/>
  <c r="ZH35" i="21"/>
  <c r="ZH43" i="21" s="1"/>
  <c r="ZQ35" i="21"/>
  <c r="ZQ43" i="21" s="1"/>
  <c r="KB38" i="21"/>
  <c r="MP17" i="21"/>
  <c r="IG26" i="21"/>
  <c r="OA28" i="21"/>
  <c r="FS35" i="21"/>
  <c r="FS43" i="21" s="1"/>
  <c r="HI14" i="21"/>
  <c r="FQ16" i="21"/>
  <c r="FQ29" i="21"/>
  <c r="I38" i="21"/>
  <c r="IE35" i="21"/>
  <c r="IE43" i="21" s="1"/>
  <c r="ZJ35" i="21"/>
  <c r="ZJ43" i="21" s="1"/>
  <c r="CX35" i="21"/>
  <c r="CX43" i="21" s="1"/>
  <c r="DB35" i="21"/>
  <c r="DB43" i="21" s="1"/>
  <c r="JT35" i="21"/>
  <c r="JT43" i="21" s="1"/>
  <c r="ND35" i="21"/>
  <c r="ND43" i="21" s="1"/>
  <c r="SS35" i="21"/>
  <c r="SS43" i="21" s="1"/>
  <c r="XB35" i="21"/>
  <c r="XB43" i="21" s="1"/>
  <c r="EY35" i="21"/>
  <c r="EY43" i="21" s="1"/>
  <c r="YN27" i="21"/>
  <c r="BH28" i="21"/>
  <c r="YZ18" i="21"/>
  <c r="YN19" i="21"/>
  <c r="YN20" i="21"/>
  <c r="YN24" i="21"/>
  <c r="PJ27" i="21"/>
  <c r="MM28" i="21"/>
  <c r="NP28" i="21"/>
  <c r="YN25" i="21"/>
  <c r="YN14" i="21"/>
  <c r="YN21" i="21"/>
  <c r="YN15" i="21"/>
  <c r="YN29" i="21"/>
  <c r="YN26" i="21"/>
  <c r="YN28" i="21"/>
  <c r="YN30" i="21"/>
  <c r="PK14" i="21"/>
  <c r="CZ35" i="21"/>
  <c r="CZ43" i="21" s="1"/>
  <c r="YN17" i="21"/>
  <c r="YN18" i="21"/>
  <c r="NP25" i="21"/>
  <c r="NP27" i="21"/>
  <c r="YN22" i="21"/>
  <c r="YN23" i="21"/>
  <c r="YN16" i="21"/>
  <c r="ZB21" i="21"/>
  <c r="ZZ21" i="21" s="1"/>
  <c r="ZB28" i="21"/>
  <c r="YZ28" i="21" s="1"/>
  <c r="PK15" i="21"/>
  <c r="ZB19" i="21"/>
  <c r="YZ19" i="21" s="1"/>
  <c r="ZN18" i="21"/>
  <c r="ZL18" i="21" s="1"/>
  <c r="PI14" i="21"/>
  <c r="GZ35" i="21"/>
  <c r="GZ43" i="21" s="1"/>
  <c r="XC35" i="21"/>
  <c r="XC43" i="21" s="1"/>
  <c r="VO35" i="21"/>
  <c r="VO43" i="21" s="1"/>
  <c r="WI35" i="21"/>
  <c r="WI43" i="21" s="1"/>
  <c r="KJ17" i="21"/>
  <c r="MM16" i="21"/>
  <c r="MO26" i="21"/>
  <c r="EB25" i="21"/>
  <c r="PI15" i="21"/>
  <c r="KE29" i="21"/>
  <c r="EJ35" i="21"/>
  <c r="EJ43" i="21" s="1"/>
  <c r="JH35" i="21"/>
  <c r="JH43" i="21" s="1"/>
  <c r="NF35" i="21"/>
  <c r="NF43" i="21" s="1"/>
  <c r="OT35" i="21"/>
  <c r="OT43" i="21" s="1"/>
  <c r="SF35" i="21"/>
  <c r="SF43" i="21" s="1"/>
  <c r="AJ25" i="21"/>
  <c r="V43" i="21"/>
  <c r="MO19" i="21"/>
  <c r="BR24" i="21"/>
  <c r="BP24" i="21" s="1"/>
  <c r="BR28" i="21"/>
  <c r="BP28" i="21" s="1"/>
  <c r="BR20" i="21"/>
  <c r="BP20" i="21" s="1"/>
  <c r="BR16" i="21"/>
  <c r="BR25" i="21"/>
  <c r="BP25" i="21" s="1"/>
  <c r="BR14" i="21"/>
  <c r="BP14" i="21" s="1"/>
  <c r="BR23" i="21"/>
  <c r="BP23" i="21" s="1"/>
  <c r="BR30" i="21"/>
  <c r="BP30" i="21" s="1"/>
  <c r="PL27" i="21"/>
  <c r="MM17" i="21"/>
  <c r="PL18" i="21"/>
  <c r="OA20" i="21"/>
  <c r="FQ21" i="21"/>
  <c r="PL15" i="21"/>
  <c r="FQ25" i="21"/>
  <c r="KG26" i="21"/>
  <c r="MP16" i="21"/>
  <c r="WF30" i="21"/>
  <c r="PL22" i="21"/>
  <c r="PL24" i="21"/>
  <c r="MO17" i="21"/>
  <c r="FQ17" i="21"/>
  <c r="KG18" i="21"/>
  <c r="MP19" i="21"/>
  <c r="OA14" i="21"/>
  <c r="PL14" i="21"/>
  <c r="KG20" i="21"/>
  <c r="FQ26" i="21"/>
  <c r="MP28" i="21"/>
  <c r="OA29" i="21"/>
  <c r="EI35" i="21"/>
  <c r="EI43" i="21" s="1"/>
  <c r="EX35" i="21"/>
  <c r="EX43" i="21" s="1"/>
  <c r="HN35" i="21"/>
  <c r="HN43" i="21" s="1"/>
  <c r="LY35" i="21"/>
  <c r="LY43" i="21" s="1"/>
  <c r="RH35" i="21"/>
  <c r="RH43" i="21" s="1"/>
  <c r="ST35" i="21"/>
  <c r="ST43" i="21" s="1"/>
  <c r="ZK35" i="21"/>
  <c r="ZK43" i="21" s="1"/>
  <c r="AAD35" i="21"/>
  <c r="AAD43" i="21" s="1"/>
  <c r="OA13" i="21"/>
  <c r="PJ18" i="21"/>
  <c r="GF19" i="21"/>
  <c r="OA19" i="21"/>
  <c r="MP20" i="21"/>
  <c r="PK27" i="21"/>
  <c r="WF27" i="21"/>
  <c r="T35" i="21"/>
  <c r="T43" i="21" s="1"/>
  <c r="MP18" i="21"/>
  <c r="KG21" i="21"/>
  <c r="MP24" i="21"/>
  <c r="PL16" i="21"/>
  <c r="OA27" i="21"/>
  <c r="KG29" i="21"/>
  <c r="FQ30" i="21"/>
  <c r="PL19" i="21"/>
  <c r="PL21" i="21"/>
  <c r="KG15" i="21"/>
  <c r="MP25" i="21"/>
  <c r="OA25" i="21"/>
  <c r="PL26" i="21"/>
  <c r="BA29" i="21"/>
  <c r="AZ29" i="21" s="1"/>
  <c r="FQ20" i="21"/>
  <c r="OD21" i="21"/>
  <c r="PL25" i="21"/>
  <c r="KG24" i="21"/>
  <c r="KG27" i="21"/>
  <c r="PL28" i="21"/>
  <c r="ZF34" i="21"/>
  <c r="MP22" i="21"/>
  <c r="OA15" i="21"/>
  <c r="ZN35" i="21"/>
  <c r="ZN43" i="21" s="1"/>
  <c r="FQ18" i="21"/>
  <c r="FQ19" i="21"/>
  <c r="PL20" i="21"/>
  <c r="FQ23" i="21"/>
  <c r="KG23" i="21"/>
  <c r="OA26" i="21"/>
  <c r="KG16" i="21"/>
  <c r="JF34" i="21"/>
  <c r="MP21" i="21"/>
  <c r="EH16" i="21"/>
  <c r="OA30" i="21"/>
  <c r="FM38" i="21"/>
  <c r="ZG35" i="21"/>
  <c r="ZG43" i="21" s="1"/>
  <c r="ZP35" i="21"/>
  <c r="ZP43" i="21" s="1"/>
  <c r="ZL34" i="21"/>
  <c r="QH26" i="21"/>
  <c r="BT35" i="21"/>
  <c r="BT43" i="21" s="1"/>
  <c r="WV35" i="21"/>
  <c r="WV43" i="21" s="1"/>
  <c r="ZG19" i="21"/>
  <c r="NY21" i="21"/>
  <c r="PK28" i="21"/>
  <c r="QT30" i="21"/>
  <c r="EH18" i="21"/>
  <c r="NR25" i="21"/>
  <c r="JF21" i="21"/>
  <c r="PK24" i="21"/>
  <c r="WZ24" i="21"/>
  <c r="PK25" i="21"/>
  <c r="EV16" i="21"/>
  <c r="HX16" i="21"/>
  <c r="EH13" i="21"/>
  <c r="AJ18" i="21"/>
  <c r="UC15" i="21"/>
  <c r="KE25" i="21"/>
  <c r="FP26" i="21"/>
  <c r="EB18" i="21"/>
  <c r="JL18" i="21"/>
  <c r="HL20" i="21"/>
  <c r="QZ25" i="21"/>
  <c r="FZ34" i="21"/>
  <c r="GH35" i="21"/>
  <c r="GH43" i="21" s="1"/>
  <c r="IR35" i="21"/>
  <c r="IR43" i="21" s="1"/>
  <c r="NC35" i="21"/>
  <c r="NC43" i="21" s="1"/>
  <c r="OM35" i="21"/>
  <c r="OM43" i="21" s="1"/>
  <c r="WH35" i="21"/>
  <c r="WH43" i="21" s="1"/>
  <c r="HL19" i="21"/>
  <c r="WZ34" i="21"/>
  <c r="PI20" i="21"/>
  <c r="AJ21" i="21"/>
  <c r="IF17" i="21"/>
  <c r="ZJ30" i="21"/>
  <c r="SD34" i="21"/>
  <c r="QP29" i="21"/>
  <c r="UB29" i="21"/>
  <c r="KI26" i="5" s="1"/>
  <c r="UF30" i="21"/>
  <c r="BX21" i="21"/>
  <c r="FT23" i="21"/>
  <c r="RT26" i="21"/>
  <c r="KZ17" i="21"/>
  <c r="NY17" i="21"/>
  <c r="LL14" i="21"/>
  <c r="KF13" i="21"/>
  <c r="QP19" i="21"/>
  <c r="KE23" i="21"/>
  <c r="GA35" i="21"/>
  <c r="GA43" i="21" s="1"/>
  <c r="KR35" i="21"/>
  <c r="KR43" i="21" s="1"/>
  <c r="NG35" i="21"/>
  <c r="NG43" i="21" s="1"/>
  <c r="TA35" i="21"/>
  <c r="TA43" i="21" s="1"/>
  <c r="KF17" i="21"/>
  <c r="BX29" i="21"/>
  <c r="EV13" i="21"/>
  <c r="EH14" i="21"/>
  <c r="HX14" i="21"/>
  <c r="EV27" i="21"/>
  <c r="GF27" i="21"/>
  <c r="IF19" i="21"/>
  <c r="NY14" i="21"/>
  <c r="ZG30" i="21"/>
  <c r="PK20" i="21"/>
  <c r="QP22" i="21"/>
  <c r="WT15" i="21"/>
  <c r="KJ23" i="21"/>
  <c r="PJ23" i="21"/>
  <c r="RT16" i="21"/>
  <c r="EV29" i="21"/>
  <c r="UC19" i="21"/>
  <c r="MO21" i="21"/>
  <c r="QZ16" i="21"/>
  <c r="EH26" i="21"/>
  <c r="GF26" i="21"/>
  <c r="LL29" i="21"/>
  <c r="NZ29" i="21"/>
  <c r="RT20" i="21"/>
  <c r="SD20" i="21"/>
  <c r="KJ21" i="21"/>
  <c r="SX29" i="21"/>
  <c r="ZK30" i="21"/>
  <c r="WZ18" i="21"/>
  <c r="ZG23" i="21"/>
  <c r="PJ24" i="21"/>
  <c r="AJ26" i="21"/>
  <c r="LK15" i="21"/>
  <c r="UF29" i="21"/>
  <c r="FP17" i="21"/>
  <c r="KE18" i="21"/>
  <c r="BH20" i="21"/>
  <c r="BH21" i="21"/>
  <c r="BA13" i="21"/>
  <c r="AZ13" i="21" s="1"/>
  <c r="AJ22" i="21"/>
  <c r="RF27" i="21"/>
  <c r="NZ21" i="21"/>
  <c r="ZH13" i="21"/>
  <c r="FB22" i="21"/>
  <c r="QZ29" i="21"/>
  <c r="YN13" i="21"/>
  <c r="EN22" i="21"/>
  <c r="RF29" i="21"/>
  <c r="MO13" i="21"/>
  <c r="QH13" i="21"/>
  <c r="PK17" i="21"/>
  <c r="WT17" i="21"/>
  <c r="WF14" i="21"/>
  <c r="RX20" i="21"/>
  <c r="DJ22" i="21"/>
  <c r="DR22" i="21" s="1"/>
  <c r="DP22" i="21" s="1"/>
  <c r="EB22" i="21"/>
  <c r="JL15" i="21"/>
  <c r="PJ26" i="21"/>
  <c r="MM27" i="21"/>
  <c r="TL29" i="21"/>
  <c r="BA30" i="21"/>
  <c r="AZ30" i="21" s="1"/>
  <c r="EB13" i="21"/>
  <c r="HL30" i="21"/>
  <c r="JF30" i="21"/>
  <c r="NZ13" i="21"/>
  <c r="RF13" i="21"/>
  <c r="EH17" i="21"/>
  <c r="RX25" i="21"/>
  <c r="EB29" i="21"/>
  <c r="IJ30" i="21"/>
  <c r="HX20" i="21"/>
  <c r="NY22" i="21"/>
  <c r="LV17" i="21"/>
  <c r="J18" i="21"/>
  <c r="ZR22" i="21"/>
  <c r="WZ25" i="21"/>
  <c r="WL16" i="21"/>
  <c r="FO30" i="21"/>
  <c r="RT30" i="21"/>
  <c r="JF17" i="21"/>
  <c r="DJ19" i="21"/>
  <c r="DR19" i="21" s="1"/>
  <c r="DP19" i="21" s="1"/>
  <c r="ZJ21" i="21"/>
  <c r="JF22" i="21"/>
  <c r="EH24" i="21"/>
  <c r="QP30" i="21"/>
  <c r="G50" i="9"/>
  <c r="G68" i="9" s="1"/>
  <c r="WF19" i="21"/>
  <c r="HL18" i="21"/>
  <c r="JF18" i="21"/>
  <c r="ZH18" i="21"/>
  <c r="JL14" i="21"/>
  <c r="R20" i="21"/>
  <c r="MM15" i="21"/>
  <c r="JL27" i="21"/>
  <c r="AJ19" i="21"/>
  <c r="BX24" i="21"/>
  <c r="UB17" i="21"/>
  <c r="KI11" i="5" s="1"/>
  <c r="KF18" i="21"/>
  <c r="SD18" i="21"/>
  <c r="MO27" i="21"/>
  <c r="QZ27" i="21"/>
  <c r="JL19" i="21"/>
  <c r="WF23" i="21"/>
  <c r="KF24" i="21"/>
  <c r="JX30" i="21"/>
  <c r="HX19" i="21"/>
  <c r="LL22" i="21"/>
  <c r="RT25" i="21"/>
  <c r="JF27" i="21"/>
  <c r="OD29" i="21"/>
  <c r="SD30" i="21"/>
  <c r="HH19" i="21"/>
  <c r="IF14" i="21"/>
  <c r="RT23" i="21"/>
  <c r="QP27" i="21"/>
  <c r="PJ28" i="21"/>
  <c r="RX30" i="21"/>
  <c r="IF18" i="21"/>
  <c r="JX19" i="21"/>
  <c r="KJ16" i="21"/>
  <c r="R34" i="21"/>
  <c r="FB23" i="21"/>
  <c r="UF28" i="21"/>
  <c r="R29" i="21"/>
  <c r="UC29" i="21"/>
  <c r="HX18" i="21"/>
  <c r="LP18" i="21"/>
  <c r="LP19" i="21"/>
  <c r="BX27" i="21"/>
  <c r="HX13" i="21"/>
  <c r="GF18" i="21"/>
  <c r="KJ18" i="21"/>
  <c r="QT27" i="21"/>
  <c r="XF30" i="21"/>
  <c r="IJ21" i="21"/>
  <c r="IE16" i="21"/>
  <c r="IE17" i="21"/>
  <c r="HX17" i="21"/>
  <c r="BX14" i="21"/>
  <c r="QT24" i="21"/>
  <c r="PP28" i="21"/>
  <c r="LL13" i="21"/>
  <c r="EB17" i="21"/>
  <c r="JX17" i="21"/>
  <c r="FP15" i="21"/>
  <c r="PP23" i="21"/>
  <c r="UD26" i="21"/>
  <c r="WL26" i="21"/>
  <c r="QT16" i="21"/>
  <c r="WF16" i="21"/>
  <c r="JL29" i="21"/>
  <c r="MM29" i="21"/>
  <c r="VL33" i="21"/>
  <c r="MT14" i="21"/>
  <c r="PJ21" i="21"/>
  <c r="UE22" i="21"/>
  <c r="BX15" i="21"/>
  <c r="EB23" i="21"/>
  <c r="WT23" i="21"/>
  <c r="FT24" i="21"/>
  <c r="HL24" i="21"/>
  <c r="JR26" i="21"/>
  <c r="CL16" i="21"/>
  <c r="WZ16" i="21"/>
  <c r="GF34" i="21"/>
  <c r="KE13" i="21"/>
  <c r="CL17" i="21"/>
  <c r="QZ19" i="21"/>
  <c r="UB19" i="21"/>
  <c r="KI13" i="5" s="1"/>
  <c r="XF19" i="21"/>
  <c r="EV14" i="21"/>
  <c r="QO22" i="21"/>
  <c r="WZ22" i="21"/>
  <c r="WL25" i="21"/>
  <c r="OJ26" i="21"/>
  <c r="PI26" i="21"/>
  <c r="XF26" i="21"/>
  <c r="OJ28" i="21"/>
  <c r="PI28" i="21"/>
  <c r="MO29" i="21"/>
  <c r="UD18" i="21"/>
  <c r="IF20" i="21"/>
  <c r="WZ20" i="21"/>
  <c r="FP21" i="21"/>
  <c r="QO21" i="21"/>
  <c r="QZ22" i="21"/>
  <c r="SD15" i="21"/>
  <c r="WL15" i="21"/>
  <c r="FO23" i="21"/>
  <c r="PK23" i="21"/>
  <c r="KE24" i="21"/>
  <c r="UD24" i="21"/>
  <c r="LL25" i="21"/>
  <c r="NZ16" i="21"/>
  <c r="LV27" i="21"/>
  <c r="XF27" i="21"/>
  <c r="IF13" i="21"/>
  <c r="WZ13" i="21"/>
  <c r="AJ17" i="21"/>
  <c r="IP17" i="21"/>
  <c r="UB14" i="21"/>
  <c r="KI14" i="5" s="1"/>
  <c r="PK26" i="21"/>
  <c r="BX16" i="21"/>
  <c r="LL16" i="21"/>
  <c r="NY16" i="21"/>
  <c r="QP16" i="21"/>
  <c r="DJ30" i="21"/>
  <c r="DR30" i="21" s="1"/>
  <c r="DP30" i="21" s="1"/>
  <c r="FZ30" i="21"/>
  <c r="IE30" i="21"/>
  <c r="MO30" i="21"/>
  <c r="RX19" i="21"/>
  <c r="KJ14" i="21"/>
  <c r="EV20" i="21"/>
  <c r="WL21" i="21"/>
  <c r="PJ22" i="21"/>
  <c r="UB15" i="21"/>
  <c r="KI18" i="5" s="1"/>
  <c r="AJ23" i="21"/>
  <c r="EV23" i="21"/>
  <c r="WZ23" i="21"/>
  <c r="UF24" i="21"/>
  <c r="UN24" i="21"/>
  <c r="PJ25" i="21"/>
  <c r="FH28" i="21"/>
  <c r="BD29" i="21"/>
  <c r="FB29" i="21"/>
  <c r="HL29" i="21"/>
  <c r="ZG25" i="21"/>
  <c r="KE16" i="21"/>
  <c r="PJ16" i="21"/>
  <c r="WL29" i="21"/>
  <c r="ZG17" i="21"/>
  <c r="UC18" i="21"/>
  <c r="EH20" i="21"/>
  <c r="PJ20" i="21"/>
  <c r="XF20" i="21"/>
  <c r="UC21" i="21"/>
  <c r="KE22" i="21"/>
  <c r="NZ15" i="21"/>
  <c r="EN23" i="21"/>
  <c r="XF23" i="21"/>
  <c r="GF24" i="21"/>
  <c r="IP24" i="21"/>
  <c r="UF25" i="21"/>
  <c r="FO26" i="21"/>
  <c r="PK16" i="21"/>
  <c r="QT28" i="21"/>
  <c r="FP13" i="21"/>
  <c r="J17" i="21"/>
  <c r="FO19" i="21"/>
  <c r="MN19" i="21"/>
  <c r="GV15" i="21"/>
  <c r="DT28" i="21"/>
  <c r="OR13" i="21"/>
  <c r="KJ13" i="21"/>
  <c r="KZ13" i="21"/>
  <c r="BH19" i="21"/>
  <c r="FH19" i="21"/>
  <c r="OD19" i="21"/>
  <c r="UA22" i="21"/>
  <c r="AP15" i="21"/>
  <c r="RF15" i="21"/>
  <c r="XV30" i="21"/>
  <c r="XT30" i="21" s="1"/>
  <c r="R13" i="21"/>
  <c r="MN17" i="21"/>
  <c r="WT18" i="21"/>
  <c r="ZG22" i="21"/>
  <c r="QH25" i="21"/>
  <c r="UA25" i="21"/>
  <c r="UA27" i="21"/>
  <c r="AP13" i="21"/>
  <c r="CP13" i="21"/>
  <c r="JR17" i="21"/>
  <c r="WZ17" i="21"/>
  <c r="FB18" i="21"/>
  <c r="JX18" i="21"/>
  <c r="RF18" i="21"/>
  <c r="EH19" i="21"/>
  <c r="JR19" i="21"/>
  <c r="LK19" i="21"/>
  <c r="NY19" i="21"/>
  <c r="LP20" i="21"/>
  <c r="QO20" i="21"/>
  <c r="OJ22" i="21"/>
  <c r="RS15" i="21"/>
  <c r="UA30" i="21"/>
  <c r="EN13" i="21"/>
  <c r="FT13" i="21"/>
  <c r="UE13" i="21"/>
  <c r="AP17" i="21"/>
  <c r="BH17" i="21"/>
  <c r="CP18" i="21"/>
  <c r="FB27" i="21"/>
  <c r="BH30" i="21"/>
  <c r="XV18" i="21"/>
  <c r="XT18" i="21" s="1"/>
  <c r="FB19" i="21"/>
  <c r="PK19" i="21"/>
  <c r="BH22" i="21"/>
  <c r="MM13" i="21"/>
  <c r="MN13" i="21"/>
  <c r="RS13" i="21"/>
  <c r="NZ17" i="21"/>
  <c r="UD17" i="21"/>
  <c r="XF17" i="21"/>
  <c r="MM18" i="21"/>
  <c r="DT19" i="21"/>
  <c r="J24" i="21"/>
  <c r="ZJ28" i="21"/>
  <c r="QO13" i="21"/>
  <c r="SR13" i="21"/>
  <c r="RX17" i="21"/>
  <c r="UE17" i="21"/>
  <c r="BH18" i="21"/>
  <c r="EV18" i="21"/>
  <c r="MN18" i="21"/>
  <c r="MO18" i="21"/>
  <c r="OD18" i="21"/>
  <c r="CP19" i="21"/>
  <c r="KF19" i="21"/>
  <c r="PI21" i="21"/>
  <c r="DW35" i="21"/>
  <c r="DW43" i="21" s="1"/>
  <c r="KS35" i="21"/>
  <c r="KS43" i="21" s="1"/>
  <c r="NH35" i="21"/>
  <c r="NH43" i="21" s="1"/>
  <c r="SK35" i="21"/>
  <c r="SK43" i="21" s="1"/>
  <c r="VZ35" i="21"/>
  <c r="VZ43" i="21" s="1"/>
  <c r="YZ14" i="21"/>
  <c r="PP20" i="21"/>
  <c r="QP20" i="21"/>
  <c r="MM21" i="21"/>
  <c r="UE21" i="21"/>
  <c r="JX22" i="21"/>
  <c r="PP22" i="21"/>
  <c r="SJ22" i="21"/>
  <c r="UC22" i="21"/>
  <c r="WL22" i="21"/>
  <c r="BH15" i="21"/>
  <c r="UF15" i="21"/>
  <c r="R23" i="21"/>
  <c r="QZ23" i="21"/>
  <c r="D25" i="21"/>
  <c r="IP25" i="21"/>
  <c r="J26" i="21"/>
  <c r="FP16" i="21"/>
  <c r="GV16" i="21"/>
  <c r="JL16" i="21"/>
  <c r="FT27" i="21"/>
  <c r="HL27" i="21"/>
  <c r="AP28" i="21"/>
  <c r="PJ29" i="21"/>
  <c r="IP30" i="21"/>
  <c r="JR30" i="21"/>
  <c r="PI30" i="21"/>
  <c r="CY35" i="21"/>
  <c r="CY43" i="21" s="1"/>
  <c r="EP35" i="21"/>
  <c r="EP43" i="21" s="1"/>
  <c r="JN35" i="21"/>
  <c r="JN43" i="21" s="1"/>
  <c r="WB35" i="21"/>
  <c r="WB43" i="21" s="1"/>
  <c r="WT33" i="21"/>
  <c r="AP34" i="21"/>
  <c r="SD19" i="21"/>
  <c r="KF14" i="21"/>
  <c r="UE14" i="21"/>
  <c r="CL20" i="21"/>
  <c r="UB20" i="21"/>
  <c r="KI15" i="5" s="1"/>
  <c r="WL20" i="21"/>
  <c r="MN21" i="21"/>
  <c r="WF21" i="21"/>
  <c r="J22" i="21"/>
  <c r="KP22" i="21"/>
  <c r="NY15" i="21"/>
  <c r="XV15" i="21"/>
  <c r="XT15" i="21" s="1"/>
  <c r="HL23" i="21"/>
  <c r="QP23" i="21"/>
  <c r="FB24" i="21"/>
  <c r="JR24" i="21"/>
  <c r="SD24" i="21"/>
  <c r="CL25" i="21"/>
  <c r="CV25" i="21"/>
  <c r="GF25" i="21"/>
  <c r="IF25" i="21"/>
  <c r="KJ25" i="21"/>
  <c r="QP26" i="21"/>
  <c r="UC26" i="21"/>
  <c r="UF26" i="21"/>
  <c r="J16" i="21"/>
  <c r="MN16" i="21"/>
  <c r="UF16" i="21"/>
  <c r="WT16" i="21"/>
  <c r="LL28" i="21"/>
  <c r="QP28" i="21"/>
  <c r="CP29" i="21"/>
  <c r="EV30" i="21"/>
  <c r="LV30" i="21"/>
  <c r="NZ30" i="21"/>
  <c r="SJ30" i="21"/>
  <c r="IQ35" i="21"/>
  <c r="IQ43" i="21" s="1"/>
  <c r="OL35" i="21"/>
  <c r="OL43" i="21" s="1"/>
  <c r="RB35" i="21"/>
  <c r="RB43" i="21" s="1"/>
  <c r="TD35" i="21"/>
  <c r="TD43" i="21" s="1"/>
  <c r="YC35" i="21"/>
  <c r="YC43" i="21" s="1"/>
  <c r="EH34" i="21"/>
  <c r="SR34" i="21"/>
  <c r="BH14" i="21"/>
  <c r="XV14" i="21"/>
  <c r="XT14" i="21" s="1"/>
  <c r="ZJ14" i="21"/>
  <c r="CP20" i="21"/>
  <c r="FB20" i="21"/>
  <c r="LL20" i="21"/>
  <c r="J21" i="21"/>
  <c r="XV21" i="21"/>
  <c r="XT21" i="21" s="1"/>
  <c r="MN15" i="21"/>
  <c r="BH23" i="21"/>
  <c r="CP24" i="21"/>
  <c r="NB24" i="21"/>
  <c r="QH24" i="21"/>
  <c r="UD25" i="21"/>
  <c r="KE26" i="21"/>
  <c r="IP16" i="21"/>
  <c r="MO16" i="21"/>
  <c r="EB27" i="21"/>
  <c r="FO27" i="21"/>
  <c r="KF27" i="21"/>
  <c r="SJ28" i="21"/>
  <c r="UC28" i="21"/>
  <c r="BH29" i="21"/>
  <c r="AL35" i="21"/>
  <c r="AL43" i="21" s="1"/>
  <c r="WG35" i="21"/>
  <c r="WG43" i="21" s="1"/>
  <c r="YD35" i="21"/>
  <c r="YD43" i="21" s="1"/>
  <c r="CB43" i="21"/>
  <c r="ZK14" i="21"/>
  <c r="FT21" i="21"/>
  <c r="HL21" i="21"/>
  <c r="MN22" i="21"/>
  <c r="HX15" i="21"/>
  <c r="UA15" i="21"/>
  <c r="UE23" i="21"/>
  <c r="FP24" i="21"/>
  <c r="JF24" i="21"/>
  <c r="TL24" i="21"/>
  <c r="FT25" i="21"/>
  <c r="UE25" i="21"/>
  <c r="DT26" i="21"/>
  <c r="FB26" i="21"/>
  <c r="GV26" i="21"/>
  <c r="RS26" i="21"/>
  <c r="UE26" i="21"/>
  <c r="ZH26" i="21"/>
  <c r="BH27" i="21"/>
  <c r="UE27" i="21"/>
  <c r="KF28" i="21"/>
  <c r="QT29" i="21"/>
  <c r="AJ30" i="21"/>
  <c r="KE30" i="21"/>
  <c r="UE30" i="21"/>
  <c r="P35" i="21"/>
  <c r="P43" i="21" s="1"/>
  <c r="LX35" i="21"/>
  <c r="LX43" i="21" s="1"/>
  <c r="YE35" i="21"/>
  <c r="YE43" i="21" s="1"/>
  <c r="BH34" i="21"/>
  <c r="PP19" i="21"/>
  <c r="SJ19" i="21"/>
  <c r="CL14" i="21"/>
  <c r="IP14" i="21"/>
  <c r="LP14" i="21"/>
  <c r="MD14" i="21"/>
  <c r="OD14" i="21"/>
  <c r="OR14" i="21"/>
  <c r="WL14" i="21"/>
  <c r="UA21" i="21"/>
  <c r="ZG21" i="21"/>
  <c r="CL15" i="21"/>
  <c r="XF15" i="21"/>
  <c r="BH24" i="21"/>
  <c r="SX24" i="21"/>
  <c r="CP25" i="21"/>
  <c r="MM25" i="21"/>
  <c r="OR25" i="21"/>
  <c r="BH26" i="21"/>
  <c r="JL26" i="21"/>
  <c r="DT16" i="21"/>
  <c r="IF28" i="21"/>
  <c r="RX28" i="21"/>
  <c r="WT28" i="21"/>
  <c r="HX29" i="21"/>
  <c r="LP29" i="21"/>
  <c r="CP30" i="21"/>
  <c r="RF30" i="21"/>
  <c r="GW35" i="21"/>
  <c r="GW43" i="21" s="1"/>
  <c r="NE35" i="21"/>
  <c r="NE43" i="21" s="1"/>
  <c r="OS35" i="21"/>
  <c r="OS43" i="21" s="1"/>
  <c r="YF35" i="21"/>
  <c r="YF43" i="21" s="1"/>
  <c r="AJ34" i="21"/>
  <c r="HR34" i="21"/>
  <c r="OJ19" i="21"/>
  <c r="J14" i="21"/>
  <c r="GF14" i="21"/>
  <c r="UA14" i="21"/>
  <c r="XF14" i="21"/>
  <c r="OD20" i="21"/>
  <c r="OR20" i="21"/>
  <c r="UF20" i="21"/>
  <c r="WF20" i="21"/>
  <c r="ZH20" i="21"/>
  <c r="EN21" i="21"/>
  <c r="UB21" i="21"/>
  <c r="KI16" i="5" s="1"/>
  <c r="LV15" i="21"/>
  <c r="XV23" i="21"/>
  <c r="XT23" i="21" s="1"/>
  <c r="AP24" i="21"/>
  <c r="RF24" i="21"/>
  <c r="RX24" i="21"/>
  <c r="ZZ24" i="21"/>
  <c r="ZX24" i="21" s="1"/>
  <c r="IJ25" i="21"/>
  <c r="KF25" i="21"/>
  <c r="DJ26" i="21"/>
  <c r="DR26" i="21" s="1"/>
  <c r="MN26" i="21"/>
  <c r="BH16" i="21"/>
  <c r="SJ16" i="21"/>
  <c r="UB16" i="21"/>
  <c r="KI23" i="5" s="1"/>
  <c r="EV28" i="21"/>
  <c r="HX28" i="21"/>
  <c r="LP28" i="21"/>
  <c r="OR28" i="21"/>
  <c r="WF28" i="21"/>
  <c r="ZR28" i="21"/>
  <c r="KJ29" i="21"/>
  <c r="LK29" i="21"/>
  <c r="NR29" i="21"/>
  <c r="SD29" i="21"/>
  <c r="GV30" i="21"/>
  <c r="MT30" i="21"/>
  <c r="SR30" i="21"/>
  <c r="KQ35" i="21"/>
  <c r="KQ43" i="21" s="1"/>
  <c r="VR35" i="21"/>
  <c r="VR43" i="21" s="1"/>
  <c r="XY35" i="21"/>
  <c r="XY43" i="21" s="1"/>
  <c r="YG35" i="21"/>
  <c r="YG43" i="21" s="1"/>
  <c r="MO23" i="21"/>
  <c r="JL24" i="21"/>
  <c r="MN24" i="21"/>
  <c r="BH25" i="21"/>
  <c r="DJ25" i="21"/>
  <c r="DR25" i="21" s="1"/>
  <c r="DP25" i="21" s="1"/>
  <c r="JL25" i="21"/>
  <c r="MN25" i="21"/>
  <c r="SD25" i="21"/>
  <c r="IP26" i="21"/>
  <c r="AP16" i="21"/>
  <c r="DJ16" i="21"/>
  <c r="DR16" i="21" s="1"/>
  <c r="EB16" i="21"/>
  <c r="XF16" i="21"/>
  <c r="JR27" i="21"/>
  <c r="KZ27" i="21"/>
  <c r="RL27" i="21"/>
  <c r="SD27" i="21"/>
  <c r="EH28" i="21"/>
  <c r="MN30" i="21"/>
  <c r="F35" i="21"/>
  <c r="F43" i="21" s="1"/>
  <c r="BI35" i="21"/>
  <c r="BI43" i="21" s="1"/>
  <c r="DV35" i="21"/>
  <c r="DV43" i="21" s="1"/>
  <c r="FC35" i="21"/>
  <c r="FC43" i="21" s="1"/>
  <c r="GY35" i="21"/>
  <c r="GY43" i="21" s="1"/>
  <c r="OU35" i="21"/>
  <c r="OU43" i="21" s="1"/>
  <c r="OJ34" i="21"/>
  <c r="QZ34" i="21"/>
  <c r="OZ13" i="21"/>
  <c r="BX17" i="21"/>
  <c r="DJ17" i="21"/>
  <c r="DR17" i="21" s="1"/>
  <c r="DP17" i="21" s="1"/>
  <c r="FT17" i="21"/>
  <c r="UF17" i="21"/>
  <c r="PJ30" i="21"/>
  <c r="PK13" i="21"/>
  <c r="LL17" i="21"/>
  <c r="RT17" i="21"/>
  <c r="SD17" i="21"/>
  <c r="LK18" i="21"/>
  <c r="NY18" i="21"/>
  <c r="OJ18" i="21"/>
  <c r="OZ18" i="21"/>
  <c r="AJ24" i="21"/>
  <c r="H35" i="21"/>
  <c r="H43" i="21" s="1"/>
  <c r="J33" i="21"/>
  <c r="GF13" i="21"/>
  <c r="QT13" i="21"/>
  <c r="QH17" i="21"/>
  <c r="UN17" i="21"/>
  <c r="ZJ17" i="21"/>
  <c r="ZR17" i="21"/>
  <c r="IJ18" i="21"/>
  <c r="KZ18" i="21"/>
  <c r="NZ18" i="21"/>
  <c r="DJ13" i="21"/>
  <c r="DR13" i="21" s="1"/>
  <c r="SJ17" i="21"/>
  <c r="RX18" i="21"/>
  <c r="MN20" i="21"/>
  <c r="ZG16" i="21"/>
  <c r="ZR16" i="21"/>
  <c r="FV35" i="21"/>
  <c r="FV43" i="21" s="1"/>
  <c r="FP33" i="21"/>
  <c r="FP35" i="21" s="1"/>
  <c r="FP43" i="21" s="1"/>
  <c r="LV13" i="21"/>
  <c r="SD13" i="21"/>
  <c r="ZK13" i="21"/>
  <c r="DT17" i="21"/>
  <c r="RF17" i="21"/>
  <c r="UC17" i="21"/>
  <c r="BA18" i="21"/>
  <c r="AZ18" i="21" s="1"/>
  <c r="CL18" i="21"/>
  <c r="HH18" i="21"/>
  <c r="IP18" i="21"/>
  <c r="QT18" i="21"/>
  <c r="UF18" i="21"/>
  <c r="BX26" i="21"/>
  <c r="OZ29" i="21"/>
  <c r="FH13" i="21"/>
  <c r="GV13" i="21"/>
  <c r="PI13" i="21"/>
  <c r="XF13" i="21"/>
  <c r="JL17" i="21"/>
  <c r="DT18" i="21"/>
  <c r="FT18" i="21"/>
  <c r="JR18" i="21"/>
  <c r="MT18" i="21"/>
  <c r="RS18" i="21"/>
  <c r="PK21" i="21"/>
  <c r="YT18" i="21"/>
  <c r="XX19" i="21"/>
  <c r="BA14" i="21"/>
  <c r="AZ14" i="21" s="1"/>
  <c r="MM14" i="21"/>
  <c r="QT14" i="21"/>
  <c r="MO20" i="21"/>
  <c r="UD20" i="21"/>
  <c r="IP21" i="21"/>
  <c r="FO22" i="21"/>
  <c r="QH22" i="21"/>
  <c r="QT22" i="21"/>
  <c r="MO15" i="21"/>
  <c r="CP23" i="21"/>
  <c r="LP23" i="21"/>
  <c r="QT23" i="21"/>
  <c r="ZG24" i="21"/>
  <c r="JX26" i="21"/>
  <c r="QO26" i="21"/>
  <c r="QZ26" i="21"/>
  <c r="ZG26" i="21"/>
  <c r="JX16" i="21"/>
  <c r="NB16" i="21"/>
  <c r="LK27" i="21"/>
  <c r="JL28" i="21"/>
  <c r="MD28" i="21"/>
  <c r="RT28" i="21"/>
  <c r="AP29" i="21"/>
  <c r="FT29" i="21"/>
  <c r="IF29" i="21"/>
  <c r="JR29" i="21"/>
  <c r="MN29" i="21"/>
  <c r="SJ29" i="21"/>
  <c r="UA29" i="21"/>
  <c r="IF30" i="21"/>
  <c r="PK30" i="21"/>
  <c r="XF34" i="21"/>
  <c r="EB19" i="21"/>
  <c r="GV19" i="21"/>
  <c r="JF19" i="21"/>
  <c r="OZ19" i="21"/>
  <c r="SD14" i="21"/>
  <c r="GF20" i="21"/>
  <c r="JR20" i="21"/>
  <c r="UE20" i="21"/>
  <c r="JR21" i="21"/>
  <c r="KF15" i="21"/>
  <c r="NB15" i="21"/>
  <c r="UN15" i="21"/>
  <c r="GV23" i="21"/>
  <c r="JR23" i="21"/>
  <c r="ZK24" i="21"/>
  <c r="R25" i="21"/>
  <c r="KZ25" i="21"/>
  <c r="OJ25" i="21"/>
  <c r="WT26" i="21"/>
  <c r="IF16" i="21"/>
  <c r="OJ16" i="21"/>
  <c r="ZH16" i="21"/>
  <c r="CL27" i="21"/>
  <c r="PI29" i="21"/>
  <c r="EH30" i="21"/>
  <c r="GF30" i="21"/>
  <c r="MD30" i="21"/>
  <c r="UC30" i="21"/>
  <c r="EV34" i="21"/>
  <c r="JR34" i="21"/>
  <c r="WT34" i="21"/>
  <c r="J19" i="21"/>
  <c r="KP19" i="21"/>
  <c r="UE19" i="21"/>
  <c r="WZ19" i="21"/>
  <c r="JR14" i="21"/>
  <c r="MO14" i="21"/>
  <c r="NZ14" i="21"/>
  <c r="KJ20" i="21"/>
  <c r="OJ20" i="21"/>
  <c r="SD21" i="21"/>
  <c r="IF22" i="21"/>
  <c r="JL22" i="21"/>
  <c r="CP15" i="21"/>
  <c r="QZ15" i="21"/>
  <c r="DJ23" i="21"/>
  <c r="DR23" i="21" s="1"/>
  <c r="DP23" i="21" s="1"/>
  <c r="QH23" i="21"/>
  <c r="SD23" i="21"/>
  <c r="YZ24" i="21"/>
  <c r="ZJ24" i="21"/>
  <c r="EN25" i="21"/>
  <c r="FB25" i="21"/>
  <c r="JF25" i="21"/>
  <c r="RF25" i="21"/>
  <c r="UC25" i="21"/>
  <c r="WF25" i="21"/>
  <c r="EV26" i="21"/>
  <c r="KF26" i="21"/>
  <c r="KF16" i="21"/>
  <c r="UN16" i="21"/>
  <c r="J28" i="21"/>
  <c r="FB28" i="21"/>
  <c r="MN28" i="21"/>
  <c r="XF28" i="21"/>
  <c r="OD30" i="21"/>
  <c r="UD30" i="21"/>
  <c r="FN34" i="21"/>
  <c r="HL34" i="21"/>
  <c r="VL34" i="21"/>
  <c r="IJ19" i="21"/>
  <c r="MM19" i="21"/>
  <c r="RF19" i="21"/>
  <c r="CP14" i="21"/>
  <c r="FT14" i="21"/>
  <c r="KZ14" i="21"/>
  <c r="UN20" i="21"/>
  <c r="UD22" i="21"/>
  <c r="UD23" i="21"/>
  <c r="VL16" i="21"/>
  <c r="IE28" i="21"/>
  <c r="JR28" i="21"/>
  <c r="EN29" i="21"/>
  <c r="LV29" i="21"/>
  <c r="EQ35" i="21"/>
  <c r="EQ43" i="21" s="1"/>
  <c r="KT35" i="21"/>
  <c r="KT43" i="21" s="1"/>
  <c r="NI35" i="21"/>
  <c r="NI43" i="21" s="1"/>
  <c r="RA35" i="21"/>
  <c r="RA43" i="21" s="1"/>
  <c r="SL35" i="21"/>
  <c r="SL43" i="21" s="1"/>
  <c r="TC35" i="21"/>
  <c r="TC43" i="21" s="1"/>
  <c r="CV34" i="21"/>
  <c r="ZK18" i="21"/>
  <c r="EV19" i="21"/>
  <c r="QT19" i="21"/>
  <c r="GV14" i="21"/>
  <c r="QP14" i="21"/>
  <c r="UC14" i="21"/>
  <c r="AP20" i="21"/>
  <c r="AP21" i="21"/>
  <c r="KE21" i="21"/>
  <c r="KP21" i="21"/>
  <c r="HX22" i="21"/>
  <c r="IP22" i="21"/>
  <c r="KF22" i="21"/>
  <c r="MD22" i="21"/>
  <c r="PP15" i="21"/>
  <c r="JF23" i="21"/>
  <c r="UB23" i="21"/>
  <c r="KI19" i="5" s="1"/>
  <c r="CV24" i="21"/>
  <c r="EB24" i="21"/>
  <c r="FO24" i="21"/>
  <c r="XF24" i="21"/>
  <c r="SJ25" i="21"/>
  <c r="LP26" i="21"/>
  <c r="OD26" i="21"/>
  <c r="OR26" i="21"/>
  <c r="FT16" i="21"/>
  <c r="RF16" i="21"/>
  <c r="FH27" i="21"/>
  <c r="KJ27" i="21"/>
  <c r="LP27" i="21"/>
  <c r="MT27" i="21"/>
  <c r="NY27" i="21"/>
  <c r="KJ28" i="21"/>
  <c r="MO28" i="21"/>
  <c r="OD28" i="21"/>
  <c r="RF28" i="21"/>
  <c r="UD28" i="21"/>
  <c r="VL28" i="21"/>
  <c r="KF29" i="21"/>
  <c r="SR29" i="21"/>
  <c r="FT30" i="21"/>
  <c r="CH35" i="21"/>
  <c r="CH43" i="21" s="1"/>
  <c r="DA35" i="21"/>
  <c r="DA43" i="21" s="1"/>
  <c r="ED35" i="21"/>
  <c r="ED43" i="21" s="1"/>
  <c r="VX35" i="21"/>
  <c r="VX43" i="21" s="1"/>
  <c r="WN35" i="21"/>
  <c r="WN43" i="21" s="1"/>
  <c r="J34" i="21"/>
  <c r="FB34" i="21"/>
  <c r="GV34" i="21"/>
  <c r="BX19" i="21"/>
  <c r="IE19" i="21"/>
  <c r="ZJ19" i="21"/>
  <c r="JX14" i="21"/>
  <c r="NB14" i="21"/>
  <c r="TL14" i="21"/>
  <c r="KF20" i="21"/>
  <c r="DT22" i="21"/>
  <c r="LP22" i="21"/>
  <c r="WF22" i="21"/>
  <c r="ZH22" i="21"/>
  <c r="IF15" i="21"/>
  <c r="MT15" i="21"/>
  <c r="CL23" i="21"/>
  <c r="DT23" i="21"/>
  <c r="IJ23" i="21"/>
  <c r="KF23" i="21"/>
  <c r="KP23" i="21"/>
  <c r="QO23" i="21"/>
  <c r="BA24" i="21"/>
  <c r="AZ24" i="21" s="1"/>
  <c r="CL24" i="21"/>
  <c r="WT24" i="21"/>
  <c r="NZ25" i="21"/>
  <c r="AP26" i="21"/>
  <c r="KJ26" i="21"/>
  <c r="CV27" i="21"/>
  <c r="RT27" i="21"/>
  <c r="FP28" i="21"/>
  <c r="GV28" i="21"/>
  <c r="ZG28" i="21"/>
  <c r="NR30" i="21"/>
  <c r="OZ30" i="21"/>
  <c r="R33" i="21"/>
  <c r="AQ35" i="21"/>
  <c r="AQ43" i="21" s="1"/>
  <c r="XZ35" i="21"/>
  <c r="XZ43" i="21" s="1"/>
  <c r="YH35" i="21"/>
  <c r="YH43" i="21" s="1"/>
  <c r="EN34" i="21"/>
  <c r="SX34" i="21"/>
  <c r="ZJ18" i="21"/>
  <c r="IP19" i="21"/>
  <c r="QO19" i="21"/>
  <c r="ZK19" i="21"/>
  <c r="IJ14" i="21"/>
  <c r="EB20" i="21"/>
  <c r="JL20" i="21"/>
  <c r="MD20" i="21"/>
  <c r="EH21" i="21"/>
  <c r="GF21" i="21"/>
  <c r="MT21" i="21"/>
  <c r="OJ21" i="21"/>
  <c r="VL21" i="21"/>
  <c r="R22" i="21"/>
  <c r="MO22" i="21"/>
  <c r="RF22" i="21"/>
  <c r="RX22" i="21"/>
  <c r="AJ15" i="21"/>
  <c r="EH15" i="21"/>
  <c r="GF15" i="21"/>
  <c r="IE15" i="21"/>
  <c r="UE15" i="21"/>
  <c r="MN23" i="21"/>
  <c r="PI23" i="21"/>
  <c r="KJ24" i="21"/>
  <c r="MO25" i="21"/>
  <c r="RL26" i="21"/>
  <c r="SD26" i="21"/>
  <c r="FH16" i="21"/>
  <c r="LV16" i="21"/>
  <c r="UE16" i="21"/>
  <c r="J27" i="21"/>
  <c r="EH27" i="21"/>
  <c r="IJ27" i="21"/>
  <c r="KE27" i="21"/>
  <c r="LL27" i="21"/>
  <c r="UN28" i="21"/>
  <c r="EH29" i="21"/>
  <c r="MT29" i="21"/>
  <c r="EB30" i="21"/>
  <c r="PP30" i="21"/>
  <c r="UN30" i="21"/>
  <c r="ZR30" i="21"/>
  <c r="EB34" i="21"/>
  <c r="WL34" i="21"/>
  <c r="BR19" i="21"/>
  <c r="BP19" i="21" s="1"/>
  <c r="MD26" i="21"/>
  <c r="MM26" i="21"/>
  <c r="NB13" i="21"/>
  <c r="NR13" i="21"/>
  <c r="CV17" i="21"/>
  <c r="NB17" i="21"/>
  <c r="OJ17" i="21"/>
  <c r="OZ17" i="21"/>
  <c r="PI17" i="21"/>
  <c r="QP17" i="21"/>
  <c r="WL17" i="21"/>
  <c r="FO18" i="21"/>
  <c r="NB18" i="21"/>
  <c r="NR18" i="21"/>
  <c r="QP18" i="21"/>
  <c r="LL19" i="21"/>
  <c r="MT19" i="21"/>
  <c r="RL19" i="21"/>
  <c r="AP14" i="21"/>
  <c r="PP14" i="21"/>
  <c r="ZI21" i="21"/>
  <c r="ZI31" i="21" s="1"/>
  <c r="YT21" i="21"/>
  <c r="XX22" i="21"/>
  <c r="LL15" i="21"/>
  <c r="J23" i="21"/>
  <c r="HS35" i="21"/>
  <c r="HS43" i="21" s="1"/>
  <c r="HR33" i="21"/>
  <c r="CV13" i="21"/>
  <c r="IE18" i="21"/>
  <c r="RS19" i="21"/>
  <c r="PK22" i="21"/>
  <c r="IP13" i="21"/>
  <c r="JR13" i="21"/>
  <c r="PJ13" i="21"/>
  <c r="TL13" i="21"/>
  <c r="VL13" i="21"/>
  <c r="GF17" i="21"/>
  <c r="IJ17" i="21"/>
  <c r="MT17" i="21"/>
  <c r="PJ17" i="21"/>
  <c r="DJ18" i="21"/>
  <c r="DR18" i="21" s="1"/>
  <c r="DP18" i="21" s="1"/>
  <c r="FP18" i="21"/>
  <c r="GV18" i="21"/>
  <c r="PK18" i="21"/>
  <c r="QZ18" i="21"/>
  <c r="WF18" i="21"/>
  <c r="LV19" i="21"/>
  <c r="PJ19" i="21"/>
  <c r="UF19" i="21"/>
  <c r="WL19" i="21"/>
  <c r="R14" i="21"/>
  <c r="FB14" i="21"/>
  <c r="KE14" i="21"/>
  <c r="KP14" i="21"/>
  <c r="LK14" i="21"/>
  <c r="LV14" i="21"/>
  <c r="SX14" i="21"/>
  <c r="NR20" i="21"/>
  <c r="NY20" i="21"/>
  <c r="RF21" i="21"/>
  <c r="DJ24" i="21"/>
  <c r="DR24" i="21" s="1"/>
  <c r="DP24" i="21" s="1"/>
  <c r="J25" i="21"/>
  <c r="BA21" i="21"/>
  <c r="AZ21" i="21" s="1"/>
  <c r="AV21" i="21"/>
  <c r="KP18" i="21"/>
  <c r="RL18" i="21"/>
  <c r="KJ19" i="21"/>
  <c r="SX13" i="21"/>
  <c r="YT13" i="21"/>
  <c r="CV18" i="21"/>
  <c r="UB18" i="21"/>
  <c r="KI12" i="5" s="1"/>
  <c r="KE19" i="21"/>
  <c r="RT19" i="21"/>
  <c r="YT19" i="21"/>
  <c r="HJ14" i="21"/>
  <c r="HH14" i="21" s="1"/>
  <c r="MN14" i="21"/>
  <c r="UF14" i="21"/>
  <c r="JX20" i="21"/>
  <c r="KE20" i="21"/>
  <c r="LK21" i="21"/>
  <c r="KZ21" i="21"/>
  <c r="RX21" i="21"/>
  <c r="RT21" i="21"/>
  <c r="VL22" i="21"/>
  <c r="FO15" i="21"/>
  <c r="FH15" i="21"/>
  <c r="JX15" i="21"/>
  <c r="KE15" i="21"/>
  <c r="VL23" i="21"/>
  <c r="FH29" i="21"/>
  <c r="FP29" i="21"/>
  <c r="UD19" i="21"/>
  <c r="DT13" i="21"/>
  <c r="OJ13" i="21"/>
  <c r="SJ13" i="21"/>
  <c r="EN17" i="21"/>
  <c r="FH17" i="21"/>
  <c r="FT19" i="21"/>
  <c r="UN19" i="21"/>
  <c r="EN14" i="21"/>
  <c r="ZG14" i="21"/>
  <c r="YT14" i="21"/>
  <c r="LL21" i="21"/>
  <c r="XX21" i="21"/>
  <c r="NZ22" i="21"/>
  <c r="YZ23" i="21"/>
  <c r="ZH23" i="21"/>
  <c r="LK24" i="21"/>
  <c r="NY24" i="21"/>
  <c r="OD24" i="21"/>
  <c r="XV27" i="21"/>
  <c r="XT27" i="21" s="1"/>
  <c r="MD17" i="21"/>
  <c r="HX24" i="21"/>
  <c r="IF24" i="21"/>
  <c r="D13" i="21"/>
  <c r="MT13" i="21"/>
  <c r="GV17" i="21"/>
  <c r="HL17" i="21"/>
  <c r="QT17" i="21"/>
  <c r="LV18" i="21"/>
  <c r="SJ18" i="21"/>
  <c r="WL18" i="21"/>
  <c r="MD19" i="21"/>
  <c r="NR19" i="21"/>
  <c r="UA19" i="21"/>
  <c r="WT19" i="21"/>
  <c r="AJ14" i="21"/>
  <c r="DJ14" i="21"/>
  <c r="DR14" i="21" s="1"/>
  <c r="DP14" i="21" s="1"/>
  <c r="EB14" i="21"/>
  <c r="FH14" i="21"/>
  <c r="HL14" i="21"/>
  <c r="IE14" i="21"/>
  <c r="NR14" i="21"/>
  <c r="RS14" i="21"/>
  <c r="FH20" i="21"/>
  <c r="FO20" i="21"/>
  <c r="RL21" i="21"/>
  <c r="RS21" i="21"/>
  <c r="LK23" i="21"/>
  <c r="KZ23" i="21"/>
  <c r="RL23" i="21"/>
  <c r="IE24" i="21"/>
  <c r="IJ24" i="21"/>
  <c r="OZ27" i="21"/>
  <c r="PI27" i="21"/>
  <c r="QH28" i="21"/>
  <c r="QO28" i="21"/>
  <c r="NR24" i="21"/>
  <c r="NZ24" i="21"/>
  <c r="MM24" i="21"/>
  <c r="MD24" i="21"/>
  <c r="BT42" i="21"/>
  <c r="AV13" i="21"/>
  <c r="IJ13" i="21"/>
  <c r="JX13" i="21"/>
  <c r="CP17" i="21"/>
  <c r="EV17" i="21"/>
  <c r="KE17" i="21"/>
  <c r="NR17" i="21"/>
  <c r="OD17" i="21"/>
  <c r="OR17" i="21"/>
  <c r="SX17" i="21"/>
  <c r="VL17" i="21"/>
  <c r="YT17" i="21"/>
  <c r="ZH17" i="21"/>
  <c r="UE18" i="21"/>
  <c r="XF18" i="21"/>
  <c r="AP19" i="21"/>
  <c r="CV19" i="21"/>
  <c r="QH19" i="21"/>
  <c r="VL19" i="21"/>
  <c r="ZH19" i="21"/>
  <c r="CV14" i="21"/>
  <c r="FP14" i="21"/>
  <c r="JF14" i="21"/>
  <c r="OJ14" i="21"/>
  <c r="OZ14" i="21"/>
  <c r="RT14" i="21"/>
  <c r="ZK20" i="21"/>
  <c r="ZR20" i="21"/>
  <c r="JX21" i="21"/>
  <c r="KF21" i="21"/>
  <c r="BR22" i="21"/>
  <c r="BP22" i="21" s="1"/>
  <c r="OZ22" i="21"/>
  <c r="PI22" i="21"/>
  <c r="D23" i="21"/>
  <c r="XX24" i="21"/>
  <c r="WL27" i="21"/>
  <c r="WZ14" i="21"/>
  <c r="IJ20" i="21"/>
  <c r="NZ20" i="21"/>
  <c r="QZ20" i="21"/>
  <c r="UA20" i="21"/>
  <c r="DJ21" i="21"/>
  <c r="DR21" i="21" s="1"/>
  <c r="DP21" i="21" s="1"/>
  <c r="EB21" i="21"/>
  <c r="IF21" i="21"/>
  <c r="JL21" i="21"/>
  <c r="OZ21" i="21"/>
  <c r="SJ21" i="21"/>
  <c r="UD21" i="21"/>
  <c r="WT21" i="21"/>
  <c r="CL22" i="21"/>
  <c r="NR22" i="21"/>
  <c r="UB22" i="21"/>
  <c r="KI17" i="5" s="1"/>
  <c r="XF22" i="21"/>
  <c r="BA15" i="21"/>
  <c r="AZ15" i="21" s="1"/>
  <c r="EB15" i="21"/>
  <c r="JF15" i="21"/>
  <c r="KJ15" i="21"/>
  <c r="KZ15" i="21"/>
  <c r="LP15" i="21"/>
  <c r="OZ15" i="21"/>
  <c r="GF23" i="21"/>
  <c r="JL23" i="21"/>
  <c r="LL23" i="21"/>
  <c r="NZ23" i="21"/>
  <c r="UA23" i="21"/>
  <c r="XX23" i="21"/>
  <c r="FH24" i="21"/>
  <c r="SJ24" i="21"/>
  <c r="UA24" i="21"/>
  <c r="ZH24" i="21"/>
  <c r="KP16" i="21"/>
  <c r="FO28" i="21"/>
  <c r="NR28" i="21"/>
  <c r="NY28" i="21"/>
  <c r="CP34" i="21"/>
  <c r="QZ14" i="21"/>
  <c r="DT20" i="21"/>
  <c r="KP20" i="21"/>
  <c r="NB20" i="21"/>
  <c r="SJ20" i="21"/>
  <c r="UC20" i="21"/>
  <c r="EV21" i="21"/>
  <c r="GV21" i="21"/>
  <c r="LV21" i="21"/>
  <c r="PP21" i="21"/>
  <c r="QZ21" i="21"/>
  <c r="UF21" i="21"/>
  <c r="JR22" i="21"/>
  <c r="WT22" i="21"/>
  <c r="EV15" i="21"/>
  <c r="IJ15" i="21"/>
  <c r="QP15" i="21"/>
  <c r="IP23" i="21"/>
  <c r="NR23" i="21"/>
  <c r="OJ23" i="21"/>
  <c r="SJ23" i="21"/>
  <c r="ZR23" i="21"/>
  <c r="DT24" i="21"/>
  <c r="EV24" i="21"/>
  <c r="GV24" i="21"/>
  <c r="JX24" i="21"/>
  <c r="KZ24" i="21"/>
  <c r="UC24" i="21"/>
  <c r="FP25" i="21"/>
  <c r="HL25" i="21"/>
  <c r="JR25" i="21"/>
  <c r="LP25" i="21"/>
  <c r="OD25" i="21"/>
  <c r="VL27" i="21"/>
  <c r="CL29" i="21"/>
  <c r="GB35" i="21"/>
  <c r="GB43" i="21" s="1"/>
  <c r="FZ33" i="21"/>
  <c r="D20" i="21"/>
  <c r="IP20" i="21"/>
  <c r="RF20" i="21"/>
  <c r="VL20" i="21"/>
  <c r="UN22" i="21"/>
  <c r="TL15" i="21"/>
  <c r="ZH15" i="21"/>
  <c r="NB23" i="21"/>
  <c r="VL24" i="21"/>
  <c r="BA25" i="21"/>
  <c r="AZ25" i="21" s="1"/>
  <c r="KZ30" i="21"/>
  <c r="LL30" i="21"/>
  <c r="J20" i="21"/>
  <c r="WT20" i="21"/>
  <c r="ZG20" i="21"/>
  <c r="WZ21" i="21"/>
  <c r="CV22" i="21"/>
  <c r="FP22" i="21"/>
  <c r="GV22" i="21"/>
  <c r="RT22" i="21"/>
  <c r="UF22" i="21"/>
  <c r="DT15" i="21"/>
  <c r="OR15" i="21"/>
  <c r="SX15" i="21"/>
  <c r="ZJ15" i="21"/>
  <c r="MD23" i="21"/>
  <c r="RS23" i="21"/>
  <c r="ZJ23" i="21"/>
  <c r="OJ24" i="21"/>
  <c r="QP24" i="21"/>
  <c r="UE24" i="21"/>
  <c r="AP25" i="21"/>
  <c r="EH25" i="21"/>
  <c r="GV25" i="21"/>
  <c r="MD27" i="21"/>
  <c r="MN27" i="21"/>
  <c r="YT27" i="21"/>
  <c r="ZG27" i="21"/>
  <c r="RF14" i="21"/>
  <c r="WT14" i="21"/>
  <c r="BX20" i="21"/>
  <c r="DJ20" i="21"/>
  <c r="FT20" i="21"/>
  <c r="IE20" i="21"/>
  <c r="MT20" i="21"/>
  <c r="QH20" i="21"/>
  <c r="QT20" i="21"/>
  <c r="CL21" i="21"/>
  <c r="FB21" i="21"/>
  <c r="MD21" i="21"/>
  <c r="NR21" i="21"/>
  <c r="OR21" i="21"/>
  <c r="ZK21" i="21"/>
  <c r="AP22" i="21"/>
  <c r="FH22" i="21"/>
  <c r="KJ22" i="21"/>
  <c r="ZK22" i="21"/>
  <c r="R15" i="21"/>
  <c r="FB15" i="21"/>
  <c r="IP15" i="21"/>
  <c r="OD15" i="21"/>
  <c r="UD15" i="21"/>
  <c r="WF15" i="21"/>
  <c r="MM23" i="21"/>
  <c r="UF23" i="21"/>
  <c r="ZK23" i="21"/>
  <c r="LV24" i="21"/>
  <c r="MT24" i="21"/>
  <c r="OZ24" i="21"/>
  <c r="PI24" i="21"/>
  <c r="RT24" i="21"/>
  <c r="WL24" i="21"/>
  <c r="BX25" i="21"/>
  <c r="DT25" i="21"/>
  <c r="JX25" i="21"/>
  <c r="LK25" i="21"/>
  <c r="NB25" i="21"/>
  <c r="PP25" i="21"/>
  <c r="PI25" i="21"/>
  <c r="CQ35" i="21"/>
  <c r="CQ43" i="21" s="1"/>
  <c r="CP33" i="21"/>
  <c r="XG35" i="21"/>
  <c r="XG43" i="21" s="1"/>
  <c r="XF33" i="21"/>
  <c r="AJ20" i="21"/>
  <c r="EN20" i="21"/>
  <c r="FP20" i="21"/>
  <c r="GV20" i="21"/>
  <c r="JF20" i="21"/>
  <c r="CP21" i="21"/>
  <c r="LP21" i="21"/>
  <c r="XF21" i="21"/>
  <c r="EH22" i="21"/>
  <c r="EV22" i="21"/>
  <c r="OR22" i="21"/>
  <c r="D15" i="21"/>
  <c r="EN15" i="21"/>
  <c r="FT15" i="21"/>
  <c r="HL15" i="21"/>
  <c r="JR15" i="21"/>
  <c r="NR15" i="21"/>
  <c r="QT15" i="21"/>
  <c r="WZ15" i="21"/>
  <c r="YT15" i="21"/>
  <c r="AP23" i="21"/>
  <c r="EH23" i="21"/>
  <c r="JX23" i="21"/>
  <c r="OR23" i="21"/>
  <c r="YT23" i="21"/>
  <c r="EN24" i="21"/>
  <c r="QO24" i="21"/>
  <c r="QZ24" i="21"/>
  <c r="VL30" i="21"/>
  <c r="XH35" i="21"/>
  <c r="XH43" i="21" s="1"/>
  <c r="KP25" i="21"/>
  <c r="XF25" i="21"/>
  <c r="XX25" i="21"/>
  <c r="ZH25" i="21"/>
  <c r="OZ26" i="21"/>
  <c r="RX26" i="21"/>
  <c r="WZ26" i="21"/>
  <c r="FB16" i="21"/>
  <c r="MD16" i="21"/>
  <c r="UC16" i="21"/>
  <c r="RS27" i="21"/>
  <c r="CV28" i="21"/>
  <c r="NZ28" i="21"/>
  <c r="XX28" i="21"/>
  <c r="AJ29" i="21"/>
  <c r="YT29" i="21"/>
  <c r="CL30" i="21"/>
  <c r="KP30" i="21"/>
  <c r="NY30" i="21"/>
  <c r="OJ30" i="21"/>
  <c r="SX30" i="21"/>
  <c r="UB30" i="21"/>
  <c r="KI27" i="5" s="1"/>
  <c r="WZ30" i="21"/>
  <c r="BH33" i="21"/>
  <c r="CR35" i="21"/>
  <c r="CR43" i="21" s="1"/>
  <c r="EH33" i="21"/>
  <c r="EV33" i="21"/>
  <c r="WU35" i="21"/>
  <c r="WU43" i="21" s="1"/>
  <c r="YA35" i="21"/>
  <c r="YA43" i="21" s="1"/>
  <c r="DT34" i="21"/>
  <c r="JL34" i="21"/>
  <c r="NB34" i="21"/>
  <c r="CV26" i="21"/>
  <c r="IJ26" i="21"/>
  <c r="NY26" i="21"/>
  <c r="SJ26" i="21"/>
  <c r="IJ16" i="21"/>
  <c r="UD16" i="21"/>
  <c r="FP27" i="21"/>
  <c r="KP27" i="21"/>
  <c r="UB27" i="21"/>
  <c r="KI24" i="5" s="1"/>
  <c r="AJ28" i="21"/>
  <c r="BX28" i="21"/>
  <c r="UE28" i="21"/>
  <c r="ZH28" i="21"/>
  <c r="J29" i="21"/>
  <c r="JF29" i="21"/>
  <c r="ZH29" i="21"/>
  <c r="AP30" i="21"/>
  <c r="KF30" i="21"/>
  <c r="MM30" i="21"/>
  <c r="WL30" i="21"/>
  <c r="L35" i="21"/>
  <c r="L43" i="21" s="1"/>
  <c r="MD25" i="21"/>
  <c r="QT25" i="21"/>
  <c r="SX25" i="21"/>
  <c r="UB25" i="21"/>
  <c r="KI21" i="5" s="1"/>
  <c r="ZK25" i="21"/>
  <c r="R26" i="21"/>
  <c r="IF26" i="21"/>
  <c r="MT26" i="21"/>
  <c r="PP26" i="21"/>
  <c r="OZ16" i="21"/>
  <c r="QH16" i="21"/>
  <c r="QH27" i="21"/>
  <c r="SJ27" i="21"/>
  <c r="UC27" i="21"/>
  <c r="JX28" i="21"/>
  <c r="MT28" i="21"/>
  <c r="D29" i="21"/>
  <c r="GF29" i="21"/>
  <c r="JX29" i="21"/>
  <c r="KZ29" i="21"/>
  <c r="PP29" i="21"/>
  <c r="XX30" i="21"/>
  <c r="IP34" i="21"/>
  <c r="SJ34" i="21"/>
  <c r="RL25" i="21"/>
  <c r="VL25" i="21"/>
  <c r="YT25" i="21"/>
  <c r="HX26" i="21"/>
  <c r="LL26" i="21"/>
  <c r="LV26" i="21"/>
  <c r="HH16" i="21"/>
  <c r="KZ16" i="21"/>
  <c r="QO16" i="21"/>
  <c r="EN27" i="21"/>
  <c r="OD27" i="21"/>
  <c r="OR27" i="21"/>
  <c r="PP27" i="21"/>
  <c r="RX27" i="21"/>
  <c r="DJ28" i="21"/>
  <c r="DR28" i="21" s="1"/>
  <c r="IJ28" i="21"/>
  <c r="QZ28" i="21"/>
  <c r="SD28" i="21"/>
  <c r="DJ29" i="21"/>
  <c r="DR29" i="21" s="1"/>
  <c r="DP29" i="21" s="1"/>
  <c r="IJ29" i="21"/>
  <c r="NB29" i="21"/>
  <c r="RL29" i="21"/>
  <c r="XX29" i="21"/>
  <c r="AJ33" i="21"/>
  <c r="FB33" i="21"/>
  <c r="LV34" i="21"/>
  <c r="XX26" i="21"/>
  <c r="CV16" i="21"/>
  <c r="CV29" i="21"/>
  <c r="NY29" i="21"/>
  <c r="UE29" i="21"/>
  <c r="DT30" i="21"/>
  <c r="FB30" i="21"/>
  <c r="NB30" i="21"/>
  <c r="QH30" i="21"/>
  <c r="WT30" i="21"/>
  <c r="ZH30" i="21"/>
  <c r="SR33" i="21"/>
  <c r="RF34" i="21"/>
  <c r="NZ26" i="21"/>
  <c r="UA26" i="21"/>
  <c r="YT26" i="21"/>
  <c r="ZK26" i="21"/>
  <c r="FO16" i="21"/>
  <c r="CP27" i="21"/>
  <c r="IE27" i="21"/>
  <c r="NZ27" i="21"/>
  <c r="UF27" i="21"/>
  <c r="WZ27" i="21"/>
  <c r="XX27" i="21"/>
  <c r="ZJ27" i="21"/>
  <c r="EB28" i="21"/>
  <c r="KE28" i="21"/>
  <c r="LV28" i="21"/>
  <c r="OZ28" i="21"/>
  <c r="UA28" i="21"/>
  <c r="WL28" i="21"/>
  <c r="GV29" i="21"/>
  <c r="IE29" i="21"/>
  <c r="OR29" i="21"/>
  <c r="EN30" i="21"/>
  <c r="YT30" i="21"/>
  <c r="NY25" i="21"/>
  <c r="QP25" i="21"/>
  <c r="RS25" i="21"/>
  <c r="UN25" i="21"/>
  <c r="EB26" i="21"/>
  <c r="FH26" i="21"/>
  <c r="IE26" i="21"/>
  <c r="KP26" i="21"/>
  <c r="NB26" i="21"/>
  <c r="NR26" i="21"/>
  <c r="NR16" i="21"/>
  <c r="OD16" i="21"/>
  <c r="UA16" i="21"/>
  <c r="AJ27" i="21"/>
  <c r="BA27" i="21"/>
  <c r="AZ27" i="21" s="1"/>
  <c r="IF27" i="21"/>
  <c r="IP27" i="21"/>
  <c r="NR27" i="21"/>
  <c r="ZK27" i="21"/>
  <c r="CL28" i="21"/>
  <c r="HL28" i="21"/>
  <c r="IP28" i="21"/>
  <c r="KP28" i="21"/>
  <c r="UB28" i="21"/>
  <c r="KI25" i="5" s="1"/>
  <c r="DT29" i="21"/>
  <c r="FO29" i="21"/>
  <c r="WZ29" i="21"/>
  <c r="JL30" i="21"/>
  <c r="KJ30" i="21"/>
  <c r="QZ30" i="21"/>
  <c r="KP34" i="21"/>
  <c r="OR34" i="21"/>
  <c r="L42" i="21"/>
  <c r="L31" i="21"/>
  <c r="CM42" i="21"/>
  <c r="CM31" i="21"/>
  <c r="FR42" i="21"/>
  <c r="FR31" i="21"/>
  <c r="JN42" i="21"/>
  <c r="JN31" i="21"/>
  <c r="MR42" i="21"/>
  <c r="MR31" i="21"/>
  <c r="UI42" i="21"/>
  <c r="UI31" i="21"/>
  <c r="WU42" i="21"/>
  <c r="WU31" i="21"/>
  <c r="AK42" i="21"/>
  <c r="DA42" i="21"/>
  <c r="DA31" i="21"/>
  <c r="FK42" i="21"/>
  <c r="FK31" i="21"/>
  <c r="HM42" i="21"/>
  <c r="HM31" i="21"/>
  <c r="OE42" i="21"/>
  <c r="OE31" i="21"/>
  <c r="PY42" i="21"/>
  <c r="PY31" i="21"/>
  <c r="UL42" i="21"/>
  <c r="UL31" i="21"/>
  <c r="WB42" i="21"/>
  <c r="WB31" i="21"/>
  <c r="XL42" i="21"/>
  <c r="XL31" i="21"/>
  <c r="BR17" i="21"/>
  <c r="BP17" i="21" s="1"/>
  <c r="FO17" i="21"/>
  <c r="AK18" i="21"/>
  <c r="AK31" i="21" s="1"/>
  <c r="E18" i="21"/>
  <c r="BI42" i="21"/>
  <c r="BI31" i="21"/>
  <c r="BS42" i="21"/>
  <c r="EQ42" i="21"/>
  <c r="EQ31" i="21"/>
  <c r="HR42" i="21"/>
  <c r="HR31" i="21"/>
  <c r="KH42" i="21"/>
  <c r="KH31" i="21"/>
  <c r="ME42" i="21"/>
  <c r="ME31" i="21"/>
  <c r="MX42" i="21"/>
  <c r="MX31" i="21"/>
  <c r="OU42" i="21"/>
  <c r="OU31" i="21"/>
  <c r="PQ42" i="21"/>
  <c r="PQ31" i="21"/>
  <c r="RB42" i="21"/>
  <c r="RB31" i="21"/>
  <c r="TE42" i="21"/>
  <c r="TE31" i="21"/>
  <c r="UG13" i="21"/>
  <c r="WG42" i="21"/>
  <c r="WG31" i="21"/>
  <c r="XC42" i="21"/>
  <c r="XC31" i="21"/>
  <c r="XZ42" i="21"/>
  <c r="XZ31" i="21"/>
  <c r="AAK42" i="21"/>
  <c r="AAK31" i="21"/>
  <c r="UN18" i="21"/>
  <c r="ZR18" i="21"/>
  <c r="EN19" i="21"/>
  <c r="NZ19" i="21"/>
  <c r="DT14" i="21"/>
  <c r="FO14" i="21"/>
  <c r="MP14" i="21"/>
  <c r="ZR14" i="21"/>
  <c r="ZH14" i="21"/>
  <c r="HK20" i="21"/>
  <c r="HI20" i="21" s="1"/>
  <c r="OZ20" i="21"/>
  <c r="XV20" i="21"/>
  <c r="XT20" i="21" s="1"/>
  <c r="DT21" i="21"/>
  <c r="HJ22" i="21"/>
  <c r="HH22" i="21" s="1"/>
  <c r="WF24" i="21"/>
  <c r="ZR25" i="21"/>
  <c r="ZJ25" i="21"/>
  <c r="BT31" i="21"/>
  <c r="BV42" i="21"/>
  <c r="BV31" i="21"/>
  <c r="BE42" i="21"/>
  <c r="BE31" i="21"/>
  <c r="EY42" i="21"/>
  <c r="EY31" i="21"/>
  <c r="HD42" i="21"/>
  <c r="HD31" i="21"/>
  <c r="JG42" i="21"/>
  <c r="JG31" i="21"/>
  <c r="KM42" i="21"/>
  <c r="KM31" i="21"/>
  <c r="LY42" i="21"/>
  <c r="LY31" i="21"/>
  <c r="NU42" i="21"/>
  <c r="PC42" i="21"/>
  <c r="PC31" i="21"/>
  <c r="QW42" i="21"/>
  <c r="QW31" i="21"/>
  <c r="TB42" i="21"/>
  <c r="TB31" i="21"/>
  <c r="UT42" i="21"/>
  <c r="UT31" i="21"/>
  <c r="WN42" i="21"/>
  <c r="WN31" i="21"/>
  <c r="YE42" i="21"/>
  <c r="YE31" i="21"/>
  <c r="ZP42" i="21"/>
  <c r="ZP31" i="21"/>
  <c r="RT18" i="21"/>
  <c r="J13" i="21"/>
  <c r="V42" i="21"/>
  <c r="CJ42" i="21"/>
  <c r="CJ31" i="21"/>
  <c r="EE42" i="21"/>
  <c r="EE31" i="21"/>
  <c r="FD42" i="21"/>
  <c r="FD31" i="21"/>
  <c r="HH13" i="21"/>
  <c r="JL13" i="21"/>
  <c r="KR42" i="21"/>
  <c r="KR31" i="21"/>
  <c r="LR42" i="21"/>
  <c r="LR31" i="21"/>
  <c r="MP13" i="21"/>
  <c r="NI42" i="21"/>
  <c r="NI31" i="21"/>
  <c r="QR42" i="21"/>
  <c r="QR31" i="21"/>
  <c r="RN42" i="21"/>
  <c r="RN31" i="21"/>
  <c r="SU42" i="21"/>
  <c r="SU31" i="21"/>
  <c r="TS42" i="21"/>
  <c r="TS31" i="21"/>
  <c r="UO42" i="21"/>
  <c r="UO31" i="21"/>
  <c r="VT42" i="21"/>
  <c r="VT31" i="21"/>
  <c r="XQ42" i="21"/>
  <c r="XQ31" i="21"/>
  <c r="YH42" i="21"/>
  <c r="YH31" i="21"/>
  <c r="YX42" i="21"/>
  <c r="YX31" i="21"/>
  <c r="ZS42" i="21"/>
  <c r="ZS31" i="21"/>
  <c r="KP17" i="21"/>
  <c r="QO17" i="21"/>
  <c r="EN18" i="21"/>
  <c r="LL18" i="21"/>
  <c r="SX18" i="21"/>
  <c r="BS19" i="21"/>
  <c r="BQ19" i="21" s="1"/>
  <c r="FP19" i="21"/>
  <c r="K42" i="21"/>
  <c r="K31" i="21"/>
  <c r="Z42" i="21"/>
  <c r="Z31" i="21"/>
  <c r="BJ42" i="21"/>
  <c r="BJ31" i="21"/>
  <c r="CL13" i="21"/>
  <c r="CW42" i="21"/>
  <c r="CW31" i="21"/>
  <c r="DK42" i="21"/>
  <c r="DK31" i="21"/>
  <c r="DU42" i="21"/>
  <c r="DU31" i="21"/>
  <c r="ER42" i="21"/>
  <c r="ER31" i="21"/>
  <c r="FE42" i="21"/>
  <c r="FE31" i="21"/>
  <c r="FQ13" i="21"/>
  <c r="GA42" i="21"/>
  <c r="GA31" i="21"/>
  <c r="GW42" i="21"/>
  <c r="GW31" i="21"/>
  <c r="HI13" i="21"/>
  <c r="HU42" i="21"/>
  <c r="HU31" i="21"/>
  <c r="IQ42" i="21"/>
  <c r="IQ31" i="21"/>
  <c r="JM42" i="21"/>
  <c r="JM31" i="21"/>
  <c r="JY42" i="21"/>
  <c r="JY31" i="21"/>
  <c r="KI42" i="21"/>
  <c r="KI31" i="21"/>
  <c r="KS42" i="21"/>
  <c r="KS31" i="21"/>
  <c r="LK13" i="21"/>
  <c r="LS42" i="21"/>
  <c r="LS31" i="21"/>
  <c r="MF42" i="21"/>
  <c r="MF31" i="21"/>
  <c r="MQ42" i="21"/>
  <c r="MQ31" i="21"/>
  <c r="OK42" i="21"/>
  <c r="OK31" i="21"/>
  <c r="OV42" i="21"/>
  <c r="OV31" i="21"/>
  <c r="PR42" i="21"/>
  <c r="PR31" i="21"/>
  <c r="QI42" i="21"/>
  <c r="QI31" i="21"/>
  <c r="QS42" i="21"/>
  <c r="QS31" i="21"/>
  <c r="RC42" i="21"/>
  <c r="RC31" i="21"/>
  <c r="RO42" i="21"/>
  <c r="RO31" i="21"/>
  <c r="RY42" i="21"/>
  <c r="RY31" i="21"/>
  <c r="SK42" i="21"/>
  <c r="SK31" i="21"/>
  <c r="UH42" i="21"/>
  <c r="UH31" i="21"/>
  <c r="UP42" i="21"/>
  <c r="UP31" i="21"/>
  <c r="WH42" i="21"/>
  <c r="WH31" i="21"/>
  <c r="WT13" i="21"/>
  <c r="XR42" i="21"/>
  <c r="XR31" i="21"/>
  <c r="YA42" i="21"/>
  <c r="YA31" i="21"/>
  <c r="YY42" i="21"/>
  <c r="YY31" i="21"/>
  <c r="ZT42" i="21"/>
  <c r="ZT31" i="21"/>
  <c r="LK17" i="21"/>
  <c r="AP18" i="21"/>
  <c r="BS18" i="21"/>
  <c r="BQ18" i="21" s="1"/>
  <c r="AV19" i="21"/>
  <c r="BA19" i="21"/>
  <c r="AZ19" i="21" s="1"/>
  <c r="ZR19" i="21"/>
  <c r="UD14" i="21"/>
  <c r="XX14" i="21"/>
  <c r="CV20" i="21"/>
  <c r="SX20" i="21"/>
  <c r="YT20" i="21"/>
  <c r="HJ23" i="21"/>
  <c r="HH23" i="21" s="1"/>
  <c r="NY23" i="21"/>
  <c r="OD23" i="21"/>
  <c r="AQ42" i="21"/>
  <c r="AQ31" i="21"/>
  <c r="DV42" i="21"/>
  <c r="DV31" i="21"/>
  <c r="GB42" i="21"/>
  <c r="GB31" i="21"/>
  <c r="IR42" i="21"/>
  <c r="IR31" i="21"/>
  <c r="OL42" i="21"/>
  <c r="OL31" i="21"/>
  <c r="TM42" i="21"/>
  <c r="TM31" i="21"/>
  <c r="VV42" i="21"/>
  <c r="VV31" i="21"/>
  <c r="VJ52" i="21" s="1"/>
  <c r="VJ54" i="21" s="1"/>
  <c r="YB42" i="21"/>
  <c r="YB31" i="21"/>
  <c r="AAS42" i="21"/>
  <c r="AAS31" i="21"/>
  <c r="AG31" i="21"/>
  <c r="AG42" i="21"/>
  <c r="BC42" i="21"/>
  <c r="BC31" i="21"/>
  <c r="CN42" i="21"/>
  <c r="CN31" i="21"/>
  <c r="DM42" i="21"/>
  <c r="DM31" i="21"/>
  <c r="EJ42" i="21"/>
  <c r="EJ31" i="21"/>
  <c r="EW42" i="21"/>
  <c r="EW31" i="21"/>
  <c r="FS42" i="21"/>
  <c r="FS31" i="21"/>
  <c r="GC42" i="21"/>
  <c r="GC31" i="21"/>
  <c r="HY42" i="21"/>
  <c r="HY31" i="21"/>
  <c r="II42" i="21"/>
  <c r="II31" i="21"/>
  <c r="IS42" i="21"/>
  <c r="IS31" i="21"/>
  <c r="JO42" i="21"/>
  <c r="JO31" i="21"/>
  <c r="KA42" i="21"/>
  <c r="KA31" i="21"/>
  <c r="KK42" i="21"/>
  <c r="KK31" i="21"/>
  <c r="KU42" i="21"/>
  <c r="KU31" i="21"/>
  <c r="LW42" i="21"/>
  <c r="LW31" i="21"/>
  <c r="MH42" i="21"/>
  <c r="MH31" i="21"/>
  <c r="MS42" i="21"/>
  <c r="MS31" i="21"/>
  <c r="ND42" i="21"/>
  <c r="ND31" i="21"/>
  <c r="NS42" i="21"/>
  <c r="NS31" i="21"/>
  <c r="OC42" i="21"/>
  <c r="OM42" i="21"/>
  <c r="OM31" i="21"/>
  <c r="PA42" i="21"/>
  <c r="PA31" i="21"/>
  <c r="PT42" i="21"/>
  <c r="PT31" i="21"/>
  <c r="QK42" i="21"/>
  <c r="QK31" i="21"/>
  <c r="QU42" i="21"/>
  <c r="QU31" i="21"/>
  <c r="RG42" i="21"/>
  <c r="RG31" i="21"/>
  <c r="SA42" i="21"/>
  <c r="SA31" i="21"/>
  <c r="SM42" i="21"/>
  <c r="SM31" i="21"/>
  <c r="SZ42" i="21"/>
  <c r="SZ31" i="21"/>
  <c r="TN42" i="21"/>
  <c r="TN31" i="21"/>
  <c r="UB13" i="21"/>
  <c r="KI10" i="5" s="1"/>
  <c r="UJ42" i="21"/>
  <c r="UJ31" i="21"/>
  <c r="UR42" i="21"/>
  <c r="UR31" i="21"/>
  <c r="VX42" i="21"/>
  <c r="VX31" i="21"/>
  <c r="WL13" i="21"/>
  <c r="WV42" i="21"/>
  <c r="WV31" i="21"/>
  <c r="XH42" i="21"/>
  <c r="XH31" i="21"/>
  <c r="XU13" i="21"/>
  <c r="YC42" i="21"/>
  <c r="YC31" i="21"/>
  <c r="ZW42" i="21"/>
  <c r="ZW31" i="21"/>
  <c r="BA17" i="21"/>
  <c r="AZ17" i="21" s="1"/>
  <c r="BQ17" i="21"/>
  <c r="TL17" i="21"/>
  <c r="XV17" i="21"/>
  <c r="XT17" i="21" s="1"/>
  <c r="DS18" i="21"/>
  <c r="DQ18" i="21" s="1"/>
  <c r="FH18" i="21"/>
  <c r="KZ19" i="21"/>
  <c r="NB19" i="21"/>
  <c r="SX19" i="21"/>
  <c r="XV19" i="21"/>
  <c r="XT19" i="21" s="1"/>
  <c r="KZ20" i="21"/>
  <c r="LK20" i="21"/>
  <c r="LV20" i="21"/>
  <c r="QH15" i="21"/>
  <c r="QO15" i="21"/>
  <c r="XW15" i="21"/>
  <c r="XW42" i="21" s="1"/>
  <c r="BA23" i="21"/>
  <c r="AZ23" i="21" s="1"/>
  <c r="AV23" i="21"/>
  <c r="IE23" i="21"/>
  <c r="XV24" i="21"/>
  <c r="XT24" i="21" s="1"/>
  <c r="HJ26" i="21"/>
  <c r="HH26" i="21" s="1"/>
  <c r="AD42" i="21"/>
  <c r="CX42" i="21"/>
  <c r="CX31" i="21"/>
  <c r="IH42" i="21"/>
  <c r="IH31" i="21"/>
  <c r="KT42" i="21"/>
  <c r="KT31" i="21"/>
  <c r="PS42" i="21"/>
  <c r="PS31" i="21"/>
  <c r="RZ42" i="21"/>
  <c r="RZ31" i="21"/>
  <c r="UQ42" i="21"/>
  <c r="UQ31" i="21"/>
  <c r="WI42" i="21"/>
  <c r="WI31" i="21"/>
  <c r="ZV42" i="21"/>
  <c r="ZV31" i="21"/>
  <c r="ZR21" i="21"/>
  <c r="ZH21" i="21"/>
  <c r="BR15" i="21"/>
  <c r="BP15" i="21" s="1"/>
  <c r="RS28" i="21"/>
  <c r="RL28" i="21"/>
  <c r="AR42" i="21"/>
  <c r="AR31" i="21"/>
  <c r="BM42" i="21"/>
  <c r="BM31" i="21"/>
  <c r="BX13" i="21"/>
  <c r="CY42" i="21"/>
  <c r="CY31" i="21"/>
  <c r="DW42" i="21"/>
  <c r="DW31" i="21"/>
  <c r="FI42" i="21"/>
  <c r="FI31" i="21"/>
  <c r="GY42" i="21"/>
  <c r="GY31" i="21"/>
  <c r="P42" i="21"/>
  <c r="AJ13" i="21"/>
  <c r="AS42" i="21"/>
  <c r="AS31" i="21"/>
  <c r="BD13" i="21"/>
  <c r="BN42" i="21"/>
  <c r="BN31" i="21"/>
  <c r="BY42" i="21"/>
  <c r="BY31" i="21"/>
  <c r="CZ42" i="21"/>
  <c r="CZ31" i="21"/>
  <c r="DX42" i="21"/>
  <c r="DX31" i="21"/>
  <c r="EK42" i="21"/>
  <c r="EK31" i="21"/>
  <c r="EX42" i="21"/>
  <c r="EX31" i="21"/>
  <c r="FJ42" i="21"/>
  <c r="FJ31" i="21"/>
  <c r="GZ42" i="21"/>
  <c r="GZ31" i="21"/>
  <c r="HL13" i="21"/>
  <c r="HZ42" i="21"/>
  <c r="HZ31" i="21"/>
  <c r="JF13" i="21"/>
  <c r="KL42" i="21"/>
  <c r="KL31" i="21"/>
  <c r="LN42" i="21"/>
  <c r="LN31" i="21"/>
  <c r="LX42" i="21"/>
  <c r="LX31" i="21"/>
  <c r="NE42" i="21"/>
  <c r="NE31" i="21"/>
  <c r="NT42" i="21"/>
  <c r="NT31" i="21"/>
  <c r="OD13" i="21"/>
  <c r="ON42" i="21"/>
  <c r="ON31" i="21"/>
  <c r="PB42" i="21"/>
  <c r="PB31" i="21"/>
  <c r="PM42" i="21"/>
  <c r="PM31" i="21"/>
  <c r="QV42" i="21"/>
  <c r="QV31" i="21"/>
  <c r="RH42" i="21"/>
  <c r="RH31" i="21"/>
  <c r="RT13" i="21"/>
  <c r="SN42" i="21"/>
  <c r="SN31" i="21"/>
  <c r="TA42" i="21"/>
  <c r="TA31" i="21"/>
  <c r="TO42" i="21"/>
  <c r="TO31" i="21"/>
  <c r="UC13" i="21"/>
  <c r="UK42" i="21"/>
  <c r="UK31" i="21"/>
  <c r="US42" i="21"/>
  <c r="US31" i="21"/>
  <c r="VZ42" i="21"/>
  <c r="VZ31" i="21"/>
  <c r="WM42" i="21"/>
  <c r="WM31" i="21"/>
  <c r="WW42" i="21"/>
  <c r="WW31" i="21"/>
  <c r="XI42" i="21"/>
  <c r="XI31" i="21"/>
  <c r="YD42" i="21"/>
  <c r="YD31" i="21"/>
  <c r="ZG13" i="21"/>
  <c r="ZO42" i="21"/>
  <c r="ZO31" i="21"/>
  <c r="HH17" i="21"/>
  <c r="LP17" i="21"/>
  <c r="PP17" i="21"/>
  <c r="UA17" i="21"/>
  <c r="WF17" i="21"/>
  <c r="BX18" i="21"/>
  <c r="MD18" i="21"/>
  <c r="VL18" i="21"/>
  <c r="OR19" i="21"/>
  <c r="PI19" i="21"/>
  <c r="QH14" i="21"/>
  <c r="QO14" i="21"/>
  <c r="MM20" i="21"/>
  <c r="RS20" i="21"/>
  <c r="RL20" i="21"/>
  <c r="XX20" i="21"/>
  <c r="E21" i="21"/>
  <c r="HX21" i="21"/>
  <c r="IE21" i="21"/>
  <c r="MT22" i="21"/>
  <c r="MM22" i="21"/>
  <c r="CV15" i="21"/>
  <c r="ZR15" i="21"/>
  <c r="ZG15" i="21"/>
  <c r="TL23" i="21"/>
  <c r="UC23" i="21"/>
  <c r="BL42" i="21"/>
  <c r="BL31" i="21"/>
  <c r="EI42" i="21"/>
  <c r="EI31" i="21"/>
  <c r="GX42" i="21"/>
  <c r="GX31" i="21"/>
  <c r="JZ42" i="21"/>
  <c r="JZ31" i="21"/>
  <c r="MG42" i="21"/>
  <c r="MG31" i="21"/>
  <c r="OB42" i="21"/>
  <c r="SY42" i="21"/>
  <c r="SY31" i="21"/>
  <c r="XG42" i="21"/>
  <c r="XG31" i="21"/>
  <c r="CQ42" i="21"/>
  <c r="CQ31" i="21"/>
  <c r="GG42" i="21"/>
  <c r="GG31" i="21"/>
  <c r="IK42" i="21"/>
  <c r="IK31" i="21"/>
  <c r="LA42" i="21"/>
  <c r="LA31" i="21"/>
  <c r="NF42" i="21"/>
  <c r="NF31" i="21"/>
  <c r="PN42" i="21"/>
  <c r="PN31" i="21"/>
  <c r="RI42" i="21"/>
  <c r="RI31" i="21"/>
  <c r="TP31" i="21"/>
  <c r="TP42" i="21"/>
  <c r="YU42" i="21"/>
  <c r="YU31" i="21"/>
  <c r="FO21" i="21"/>
  <c r="FH21" i="21"/>
  <c r="ZZ15" i="21"/>
  <c r="YZ15" i="21"/>
  <c r="BB42" i="21"/>
  <c r="BB31" i="21"/>
  <c r="DL42" i="21"/>
  <c r="DL31" i="21"/>
  <c r="NC42" i="21"/>
  <c r="NC31" i="21"/>
  <c r="QJ42" i="21"/>
  <c r="QJ31" i="21"/>
  <c r="SL42" i="21"/>
  <c r="SL31" i="21"/>
  <c r="UA13" i="21"/>
  <c r="ZM42" i="21"/>
  <c r="ZM31" i="21"/>
  <c r="BZ42" i="21"/>
  <c r="BZ31" i="21"/>
  <c r="FU42" i="21"/>
  <c r="FU31" i="21"/>
  <c r="IA42" i="21"/>
  <c r="IA31" i="21"/>
  <c r="JS42" i="21"/>
  <c r="JS31" i="21"/>
  <c r="LO42" i="21"/>
  <c r="LO31" i="21"/>
  <c r="MU42" i="21"/>
  <c r="MU31" i="21"/>
  <c r="SE42" i="21"/>
  <c r="SE31" i="21"/>
  <c r="UD13" i="21"/>
  <c r="RL17" i="21"/>
  <c r="RS17" i="21"/>
  <c r="S42" i="21"/>
  <c r="S31" i="21"/>
  <c r="AW42" i="21"/>
  <c r="AW31" i="21"/>
  <c r="CB42" i="21"/>
  <c r="DB42" i="21"/>
  <c r="DB31" i="21"/>
  <c r="EC42" i="21"/>
  <c r="EC31" i="21"/>
  <c r="FB13" i="21"/>
  <c r="FV42" i="21"/>
  <c r="FV31" i="21"/>
  <c r="HE42" i="21"/>
  <c r="HE31" i="21"/>
  <c r="JH42" i="21"/>
  <c r="JH31" i="21"/>
  <c r="JT42" i="21"/>
  <c r="JT31" i="21"/>
  <c r="KP13" i="21"/>
  <c r="LP13" i="21"/>
  <c r="LZ42" i="21"/>
  <c r="LZ31" i="21"/>
  <c r="NG42" i="21"/>
  <c r="NG31" i="21"/>
  <c r="OF42" i="21"/>
  <c r="OF31" i="21"/>
  <c r="PD42" i="21"/>
  <c r="PD31" i="21"/>
  <c r="PZ42" i="21"/>
  <c r="PZ31" i="21"/>
  <c r="QZ13" i="21"/>
  <c r="RV42" i="21"/>
  <c r="RV31" i="21"/>
  <c r="SS42" i="21"/>
  <c r="SS31" i="21"/>
  <c r="TC42" i="21"/>
  <c r="TC31" i="21"/>
  <c r="TQ42" i="21"/>
  <c r="TQ31" i="21"/>
  <c r="UM42" i="21"/>
  <c r="UM31" i="21"/>
  <c r="UU42" i="21"/>
  <c r="UU31" i="21"/>
  <c r="WD42" i="21"/>
  <c r="WD31" i="21"/>
  <c r="WO42" i="21"/>
  <c r="WO31" i="21"/>
  <c r="XA42" i="21"/>
  <c r="XA31" i="21"/>
  <c r="XN42" i="21"/>
  <c r="XN31" i="21"/>
  <c r="XX13" i="21"/>
  <c r="YF42" i="21"/>
  <c r="YF31" i="21"/>
  <c r="YV42" i="21"/>
  <c r="YV31" i="21"/>
  <c r="ZI42" i="21"/>
  <c r="ZQ42" i="21"/>
  <c r="ZQ31" i="21"/>
  <c r="AAE13" i="21"/>
  <c r="XW17" i="21"/>
  <c r="XU17" i="21" s="1"/>
  <c r="BR18" i="21"/>
  <c r="BP18" i="21" s="1"/>
  <c r="OR18" i="21"/>
  <c r="PP18" i="21"/>
  <c r="QH18" i="21"/>
  <c r="UA18" i="21"/>
  <c r="XX18" i="21"/>
  <c r="SJ14" i="21"/>
  <c r="UN14" i="21"/>
  <c r="HJ20" i="21"/>
  <c r="HH20" i="21" s="1"/>
  <c r="BR21" i="21"/>
  <c r="BP21" i="21" s="1"/>
  <c r="CV21" i="21"/>
  <c r="IJ22" i="21"/>
  <c r="IE22" i="21"/>
  <c r="KZ22" i="21"/>
  <c r="LK22" i="21"/>
  <c r="RS22" i="21"/>
  <c r="RL22" i="21"/>
  <c r="HX25" i="21"/>
  <c r="IE25" i="21"/>
  <c r="VL14" i="21"/>
  <c r="F42" i="21"/>
  <c r="F31" i="21"/>
  <c r="AL42" i="21"/>
  <c r="AL31" i="21"/>
  <c r="BF42" i="21"/>
  <c r="BF31" i="21"/>
  <c r="BQ13" i="21"/>
  <c r="CR42" i="21"/>
  <c r="CR31" i="21"/>
  <c r="EO42" i="21"/>
  <c r="EO31" i="21"/>
  <c r="GH42" i="21"/>
  <c r="GH31" i="21"/>
  <c r="HN42" i="21"/>
  <c r="HN31" i="21"/>
  <c r="IL42" i="21"/>
  <c r="IL31" i="21"/>
  <c r="LB42" i="21"/>
  <c r="LB31" i="21"/>
  <c r="MV42" i="21"/>
  <c r="MV31" i="21"/>
  <c r="OS42" i="21"/>
  <c r="OS31" i="21"/>
  <c r="PO42" i="21"/>
  <c r="PO31" i="21"/>
  <c r="QP13" i="21"/>
  <c r="SF42" i="21"/>
  <c r="SF31" i="21"/>
  <c r="H42" i="21"/>
  <c r="H31" i="21"/>
  <c r="T42" i="21"/>
  <c r="AX42" i="21"/>
  <c r="AX31" i="21"/>
  <c r="BH13" i="21"/>
  <c r="BR13" i="21"/>
  <c r="CH42" i="21"/>
  <c r="CH31" i="21"/>
  <c r="CS42" i="21"/>
  <c r="CS31" i="21"/>
  <c r="DC42" i="21"/>
  <c r="DC31" i="21"/>
  <c r="ED42" i="21"/>
  <c r="ED31" i="21"/>
  <c r="EP42" i="21"/>
  <c r="EP31" i="21"/>
  <c r="FC42" i="21"/>
  <c r="FC31" i="21"/>
  <c r="FO13" i="21"/>
  <c r="FW42" i="21"/>
  <c r="FW31" i="21"/>
  <c r="GI42" i="21"/>
  <c r="GI31" i="21"/>
  <c r="HF42" i="21"/>
  <c r="HF31" i="21"/>
  <c r="HO42" i="21"/>
  <c r="HO31" i="21"/>
  <c r="IE13" i="21"/>
  <c r="IM42" i="21"/>
  <c r="IM31" i="21"/>
  <c r="JI42" i="21"/>
  <c r="JI31" i="21"/>
  <c r="JU42" i="21"/>
  <c r="JU31" i="21"/>
  <c r="KG13" i="21"/>
  <c r="KQ42" i="21"/>
  <c r="KQ31" i="21"/>
  <c r="LE42" i="21"/>
  <c r="LE31" i="21"/>
  <c r="LQ42" i="21"/>
  <c r="LQ31" i="21"/>
  <c r="MD13" i="21"/>
  <c r="MW42" i="21"/>
  <c r="MW31" i="21"/>
  <c r="NH42" i="21"/>
  <c r="NH31" i="21"/>
  <c r="NY13" i="21"/>
  <c r="OG42" i="21"/>
  <c r="OT42" i="21"/>
  <c r="OT31" i="21"/>
  <c r="PP13" i="21"/>
  <c r="QC31" i="21"/>
  <c r="QC41" i="21" s="1"/>
  <c r="QQ13" i="21"/>
  <c r="RA42" i="21"/>
  <c r="RA31" i="21"/>
  <c r="RM42" i="21"/>
  <c r="RM31" i="21"/>
  <c r="RW42" i="21"/>
  <c r="RW31" i="21"/>
  <c r="SG42" i="21"/>
  <c r="SG31" i="21"/>
  <c r="ST42" i="21"/>
  <c r="ST31" i="21"/>
  <c r="TD42" i="21"/>
  <c r="TD31" i="21"/>
  <c r="TR42" i="21"/>
  <c r="TR31" i="21"/>
  <c r="UF13" i="21"/>
  <c r="UN13" i="21"/>
  <c r="VR42" i="21"/>
  <c r="VR31" i="21"/>
  <c r="WF13" i="21"/>
  <c r="XB42" i="21"/>
  <c r="XB31" i="21"/>
  <c r="XP13" i="21"/>
  <c r="XY42" i="21"/>
  <c r="XY31" i="21"/>
  <c r="YG42" i="21"/>
  <c r="YG31" i="21"/>
  <c r="YW42" i="21"/>
  <c r="YW31" i="21"/>
  <c r="ZJ13" i="21"/>
  <c r="ZR13" i="21"/>
  <c r="AAJ42" i="21"/>
  <c r="AAJ31" i="21"/>
  <c r="E17" i="21"/>
  <c r="FB17" i="21"/>
  <c r="QZ17" i="21"/>
  <c r="XX17" i="21"/>
  <c r="PI18" i="21"/>
  <c r="QO18" i="21"/>
  <c r="TL18" i="21"/>
  <c r="ZG18" i="21"/>
  <c r="CL19" i="21"/>
  <c r="DS14" i="21"/>
  <c r="PJ14" i="21"/>
  <c r="BA20" i="21"/>
  <c r="AZ20" i="21" s="1"/>
  <c r="DS21" i="21"/>
  <c r="DS25" i="21"/>
  <c r="DQ25" i="21" s="1"/>
  <c r="XU23" i="21"/>
  <c r="BS25" i="21"/>
  <c r="BQ25" i="21" s="1"/>
  <c r="HJ25" i="21"/>
  <c r="EN26" i="21"/>
  <c r="WF26" i="21"/>
  <c r="ZB42" i="21"/>
  <c r="SD22" i="21"/>
  <c r="DS15" i="21"/>
  <c r="DQ15" i="21" s="1"/>
  <c r="UG15" i="21"/>
  <c r="FH23" i="21"/>
  <c r="FP23" i="21"/>
  <c r="HX23" i="21"/>
  <c r="IF23" i="21"/>
  <c r="SX23" i="21"/>
  <c r="MO24" i="21"/>
  <c r="XW24" i="21"/>
  <c r="XU24" i="21" s="1"/>
  <c r="WT25" i="21"/>
  <c r="YZ25" i="21"/>
  <c r="ZZ25" i="21"/>
  <c r="CL26" i="21"/>
  <c r="JF26" i="21"/>
  <c r="PP16" i="21"/>
  <c r="PI16" i="21"/>
  <c r="RS16" i="21"/>
  <c r="AV18" i="21"/>
  <c r="HI19" i="21"/>
  <c r="TL19" i="21"/>
  <c r="OA21" i="21"/>
  <c r="QT21" i="21"/>
  <c r="TL21" i="21"/>
  <c r="UN21" i="21"/>
  <c r="GF22" i="21"/>
  <c r="LV22" i="21"/>
  <c r="J15" i="21"/>
  <c r="E15" i="21"/>
  <c r="MP15" i="21"/>
  <c r="RT15" i="21"/>
  <c r="MT23" i="21"/>
  <c r="PL23" i="21"/>
  <c r="ZZ23" i="21"/>
  <c r="LP24" i="21"/>
  <c r="PP24" i="21"/>
  <c r="UB24" i="21"/>
  <c r="KI20" i="5" s="1"/>
  <c r="ZR24" i="21"/>
  <c r="FH25" i="21"/>
  <c r="FO25" i="21"/>
  <c r="FT26" i="21"/>
  <c r="UN26" i="21"/>
  <c r="YZ26" i="21"/>
  <c r="ZZ26" i="21"/>
  <c r="OR16" i="21"/>
  <c r="HJ27" i="21"/>
  <c r="HH27" i="21" s="1"/>
  <c r="ZZ14" i="21"/>
  <c r="TL20" i="21"/>
  <c r="SX21" i="21"/>
  <c r="HK22" i="21"/>
  <c r="HI22" i="21" s="1"/>
  <c r="SX22" i="21"/>
  <c r="CV23" i="21"/>
  <c r="OR24" i="21"/>
  <c r="RL24" i="21"/>
  <c r="RS24" i="21"/>
  <c r="CP26" i="21"/>
  <c r="KZ26" i="21"/>
  <c r="TL26" i="21"/>
  <c r="UB26" i="21"/>
  <c r="KI22" i="5" s="1"/>
  <c r="XV16" i="21"/>
  <c r="XT16" i="21" s="1"/>
  <c r="YT28" i="21"/>
  <c r="HI21" i="21"/>
  <c r="IG21" i="21"/>
  <c r="NB21" i="21"/>
  <c r="FT22" i="21"/>
  <c r="HL22" i="21"/>
  <c r="OD22" i="21"/>
  <c r="UG22" i="21"/>
  <c r="XV22" i="21"/>
  <c r="XT22" i="21" s="1"/>
  <c r="MD15" i="21"/>
  <c r="PJ15" i="21"/>
  <c r="XX15" i="21"/>
  <c r="LV23" i="21"/>
  <c r="OZ23" i="21"/>
  <c r="RF23" i="21"/>
  <c r="WL23" i="21"/>
  <c r="LL24" i="21"/>
  <c r="YT24" i="21"/>
  <c r="EV25" i="21"/>
  <c r="MT25" i="21"/>
  <c r="OZ25" i="21"/>
  <c r="QO25" i="21"/>
  <c r="XV25" i="21"/>
  <c r="XT25" i="21" s="1"/>
  <c r="HL26" i="21"/>
  <c r="XV28" i="21"/>
  <c r="XT28" i="21" s="1"/>
  <c r="JV41" i="21"/>
  <c r="JV38" i="21"/>
  <c r="QH21" i="21"/>
  <c r="QP21" i="21"/>
  <c r="UG21" i="21"/>
  <c r="NB22" i="21"/>
  <c r="YT22" i="21"/>
  <c r="UN23" i="21"/>
  <c r="KP24" i="21"/>
  <c r="LV25" i="21"/>
  <c r="AV26" i="21"/>
  <c r="BA26" i="21"/>
  <c r="AZ26" i="21" s="1"/>
  <c r="BR26" i="21"/>
  <c r="BP26" i="21" s="1"/>
  <c r="LK16" i="21"/>
  <c r="LP16" i="21"/>
  <c r="J30" i="21"/>
  <c r="AAR42" i="21"/>
  <c r="AAR31" i="21"/>
  <c r="ZZ17" i="21"/>
  <c r="E19" i="21"/>
  <c r="BA22" i="21"/>
  <c r="AZ22" i="21" s="1"/>
  <c r="BX22" i="21"/>
  <c r="CP22" i="21"/>
  <c r="DJ15" i="21"/>
  <c r="HJ15" i="21"/>
  <c r="HH15" i="21" s="1"/>
  <c r="KP15" i="21"/>
  <c r="OJ15" i="21"/>
  <c r="SJ15" i="21"/>
  <c r="VL15" i="21"/>
  <c r="BX23" i="21"/>
  <c r="RU24" i="21"/>
  <c r="UG26" i="21"/>
  <c r="BX30" i="21"/>
  <c r="CK38" i="21"/>
  <c r="CK41" i="21"/>
  <c r="PW41" i="21"/>
  <c r="PW38" i="21"/>
  <c r="AP33" i="21"/>
  <c r="AR35" i="21"/>
  <c r="AR43" i="21" s="1"/>
  <c r="FE35" i="21"/>
  <c r="FE43" i="21" s="1"/>
  <c r="SX26" i="21"/>
  <c r="D16" i="21"/>
  <c r="EN16" i="21"/>
  <c r="FQ27" i="21"/>
  <c r="OJ27" i="21"/>
  <c r="YZ27" i="21"/>
  <c r="ZZ27" i="21"/>
  <c r="AV28" i="21"/>
  <c r="BA28" i="21"/>
  <c r="AZ28" i="21" s="1"/>
  <c r="CP28" i="21"/>
  <c r="FT28" i="21"/>
  <c r="SX28" i="21"/>
  <c r="BR29" i="21"/>
  <c r="BP29" i="21" s="1"/>
  <c r="OJ29" i="21"/>
  <c r="MP30" i="21"/>
  <c r="OR30" i="21"/>
  <c r="LG38" i="21"/>
  <c r="LG41" i="21"/>
  <c r="HI26" i="21"/>
  <c r="LK26" i="21"/>
  <c r="RF26" i="21"/>
  <c r="JR16" i="21"/>
  <c r="MT16" i="21"/>
  <c r="SD16" i="21"/>
  <c r="E27" i="21"/>
  <c r="TL27" i="21"/>
  <c r="UN27" i="21"/>
  <c r="ZR27" i="21"/>
  <c r="DI38" i="21"/>
  <c r="DI41" i="21"/>
  <c r="KW41" i="21"/>
  <c r="KW38" i="21"/>
  <c r="NN41" i="21"/>
  <c r="NN38" i="21"/>
  <c r="NN48" i="21" s="1"/>
  <c r="TL22" i="21"/>
  <c r="RX23" i="21"/>
  <c r="QT26" i="21"/>
  <c r="AJ16" i="21"/>
  <c r="AV16" i="21"/>
  <c r="BA16" i="21"/>
  <c r="AZ16" i="21" s="1"/>
  <c r="CP16" i="21"/>
  <c r="GF16" i="21"/>
  <c r="JF16" i="21"/>
  <c r="XX16" i="21"/>
  <c r="DJ27" i="21"/>
  <c r="HX27" i="21"/>
  <c r="JX27" i="21"/>
  <c r="SX27" i="21"/>
  <c r="UG27" i="21"/>
  <c r="EN28" i="21"/>
  <c r="JF28" i="21"/>
  <c r="MD29" i="21"/>
  <c r="MP29" i="21"/>
  <c r="RX29" i="21"/>
  <c r="RS29" i="21"/>
  <c r="AY38" i="21"/>
  <c r="AY41" i="21"/>
  <c r="TK38" i="21"/>
  <c r="TK39" i="21" s="1"/>
  <c r="TK48" i="21" s="1"/>
  <c r="TK41" i="21"/>
  <c r="XK41" i="21"/>
  <c r="XK38" i="21"/>
  <c r="XK48" i="21" s="1"/>
  <c r="AAM41" i="21"/>
  <c r="AAM38" i="21"/>
  <c r="HK16" i="21"/>
  <c r="HK42" i="21" s="1"/>
  <c r="BR27" i="21"/>
  <c r="BP27" i="21" s="1"/>
  <c r="QH29" i="21"/>
  <c r="QO29" i="21"/>
  <c r="FP30" i="21"/>
  <c r="FH30" i="21"/>
  <c r="EM41" i="21"/>
  <c r="EM38" i="21"/>
  <c r="LU41" i="21"/>
  <c r="LU38" i="21"/>
  <c r="PG38" i="21"/>
  <c r="PG41" i="21"/>
  <c r="RJ41" i="21"/>
  <c r="RJ38" i="21"/>
  <c r="AAC38" i="21"/>
  <c r="AAC41" i="21"/>
  <c r="XA35" i="21"/>
  <c r="XA43" i="21" s="1"/>
  <c r="WZ33" i="21"/>
  <c r="TL25" i="21"/>
  <c r="ZR26" i="21"/>
  <c r="ZJ26" i="21"/>
  <c r="YT16" i="21"/>
  <c r="DS27" i="21"/>
  <c r="DQ27" i="21" s="1"/>
  <c r="GV27" i="21"/>
  <c r="UD27" i="21"/>
  <c r="HJ28" i="21"/>
  <c r="HH28" i="21" s="1"/>
  <c r="YO41" i="21"/>
  <c r="YO38" i="21"/>
  <c r="RF33" i="21"/>
  <c r="RG35" i="21"/>
  <c r="RG43" i="21" s="1"/>
  <c r="WM35" i="21"/>
  <c r="WM43" i="21" s="1"/>
  <c r="WL33" i="21"/>
  <c r="E26" i="21"/>
  <c r="VL26" i="21"/>
  <c r="XV26" i="21"/>
  <c r="XT26" i="21" s="1"/>
  <c r="R16" i="21"/>
  <c r="HL16" i="21"/>
  <c r="SX16" i="21"/>
  <c r="ZZ16" i="21"/>
  <c r="YZ16" i="21"/>
  <c r="AP27" i="21"/>
  <c r="DT27" i="21"/>
  <c r="MP27" i="21"/>
  <c r="NB27" i="21"/>
  <c r="WT27" i="21"/>
  <c r="GF28" i="21"/>
  <c r="HK28" i="21"/>
  <c r="HI28" i="21" s="1"/>
  <c r="KZ28" i="21"/>
  <c r="NB28" i="21"/>
  <c r="WZ28" i="21"/>
  <c r="FZ29" i="21"/>
  <c r="IP29" i="21"/>
  <c r="KP29" i="21"/>
  <c r="UN29" i="21"/>
  <c r="WF29" i="21"/>
  <c r="WT29" i="21"/>
  <c r="CI38" i="21"/>
  <c r="CI41" i="21"/>
  <c r="OQ41" i="21"/>
  <c r="OQ38" i="21"/>
  <c r="OQ48" i="21" s="1"/>
  <c r="WX41" i="21"/>
  <c r="WX38" i="21"/>
  <c r="WX48" i="21" s="1"/>
  <c r="EC35" i="21"/>
  <c r="EC43" i="21" s="1"/>
  <c r="EB33" i="21"/>
  <c r="GX35" i="21"/>
  <c r="GX43" i="21" s="1"/>
  <c r="GV33" i="21"/>
  <c r="JF33" i="21"/>
  <c r="JG35" i="21"/>
  <c r="JG43" i="21" s="1"/>
  <c r="TL16" i="21"/>
  <c r="ZG29" i="21"/>
  <c r="ZR29" i="21"/>
  <c r="AA38" i="21"/>
  <c r="AA41" i="21"/>
  <c r="FG38" i="21"/>
  <c r="FG41" i="21"/>
  <c r="GK41" i="21"/>
  <c r="GK38" i="21"/>
  <c r="GK39" i="21" s="1"/>
  <c r="KY41" i="21"/>
  <c r="KY38" i="21"/>
  <c r="MK41" i="21"/>
  <c r="MK38" i="21"/>
  <c r="NA38" i="21"/>
  <c r="NA41" i="21"/>
  <c r="TY38" i="21"/>
  <c r="TY41" i="21"/>
  <c r="WK38" i="21"/>
  <c r="WK46" i="21" s="1"/>
  <c r="WK41" i="21"/>
  <c r="SE35" i="21"/>
  <c r="SE43" i="21" s="1"/>
  <c r="SD33" i="21"/>
  <c r="ZI35" i="21"/>
  <c r="ZI43" i="21" s="1"/>
  <c r="ZF33" i="21"/>
  <c r="QO27" i="21"/>
  <c r="ZH27" i="21"/>
  <c r="LK28" i="21"/>
  <c r="TL28" i="21"/>
  <c r="RT29" i="21"/>
  <c r="XV29" i="21"/>
  <c r="XT29" i="21" s="1"/>
  <c r="RL30" i="21"/>
  <c r="RS30" i="21"/>
  <c r="BG41" i="21"/>
  <c r="BG38" i="21"/>
  <c r="BW41" i="21"/>
  <c r="BW38" i="21"/>
  <c r="DD41" i="21"/>
  <c r="DD38" i="21"/>
  <c r="DO38" i="21"/>
  <c r="DO41" i="21"/>
  <c r="IN41" i="21"/>
  <c r="IN38" i="21"/>
  <c r="OW41" i="21"/>
  <c r="OW38" i="21"/>
  <c r="QE38" i="21"/>
  <c r="YQ41" i="21"/>
  <c r="YQ38" i="21"/>
  <c r="YQ48" i="21" s="1"/>
  <c r="AAP41" i="21"/>
  <c r="AAP38" i="21"/>
  <c r="XU16" i="21"/>
  <c r="BQ27" i="21"/>
  <c r="DQ29" i="21"/>
  <c r="UD29" i="21"/>
  <c r="ZZ29" i="21"/>
  <c r="YZ29" i="21"/>
  <c r="JK38" i="21"/>
  <c r="JK48" i="21" s="1"/>
  <c r="JK41" i="21"/>
  <c r="KO38" i="21"/>
  <c r="KO41" i="21"/>
  <c r="QY38" i="21"/>
  <c r="QY41" i="21"/>
  <c r="SC41" i="21"/>
  <c r="SC38" i="21"/>
  <c r="TF41" i="21"/>
  <c r="TF38" i="21"/>
  <c r="UW38" i="21"/>
  <c r="UW41" i="21"/>
  <c r="WP41" i="21"/>
  <c r="WP38" i="21"/>
  <c r="ZE41" i="21"/>
  <c r="ZE38" i="21"/>
  <c r="DT33" i="21"/>
  <c r="DU35" i="21"/>
  <c r="DU43" i="21" s="1"/>
  <c r="GG35" i="21"/>
  <c r="GG43" i="21" s="1"/>
  <c r="GF33" i="21"/>
  <c r="LT38" i="21"/>
  <c r="SP38" i="21"/>
  <c r="SP48" i="21" s="1"/>
  <c r="HK30" i="21"/>
  <c r="HI30" i="21" s="1"/>
  <c r="HX30" i="21"/>
  <c r="EG38" i="21"/>
  <c r="EG48" i="21" s="1"/>
  <c r="EG41" i="21"/>
  <c r="EU38" i="21"/>
  <c r="EU48" i="21" s="1"/>
  <c r="EU41" i="21"/>
  <c r="HP41" i="21"/>
  <c r="HP38" i="21"/>
  <c r="HP48" i="21" s="1"/>
  <c r="MC38" i="21"/>
  <c r="MC41" i="21"/>
  <c r="OI38" i="21"/>
  <c r="OI41" i="21"/>
  <c r="OY41" i="21"/>
  <c r="OY38" i="21"/>
  <c r="QL41" i="21"/>
  <c r="QL38" i="21"/>
  <c r="E33" i="21"/>
  <c r="AK33" i="21"/>
  <c r="AK35" i="21" s="1"/>
  <c r="AK43" i="21" s="1"/>
  <c r="CV33" i="21"/>
  <c r="CW35" i="21"/>
  <c r="CW43" i="21" s="1"/>
  <c r="FO33" i="21"/>
  <c r="FT33" i="21"/>
  <c r="FU35" i="21"/>
  <c r="FU43" i="21" s="1"/>
  <c r="HU35" i="21"/>
  <c r="HU43" i="21" s="1"/>
  <c r="IM35" i="21"/>
  <c r="IM43" i="21" s="1"/>
  <c r="MT35" i="21"/>
  <c r="MT43" i="21" s="1"/>
  <c r="OG35" i="21"/>
  <c r="OG43" i="21" s="1"/>
  <c r="WD35" i="21"/>
  <c r="WD43" i="21" s="1"/>
  <c r="ZL33" i="21"/>
  <c r="ZL35" i="21" s="1"/>
  <c r="ZL43" i="21" s="1"/>
  <c r="MZ38" i="21"/>
  <c r="TV38" i="21"/>
  <c r="AAH38" i="21"/>
  <c r="XF29" i="21"/>
  <c r="BS30" i="21"/>
  <c r="BQ30" i="21" s="1"/>
  <c r="CV30" i="21"/>
  <c r="DQ30" i="21"/>
  <c r="HJ30" i="21"/>
  <c r="HH30" i="21" s="1"/>
  <c r="DG38" i="21"/>
  <c r="DG41" i="21"/>
  <c r="NK41" i="21"/>
  <c r="NK38" i="21"/>
  <c r="NK48" i="21" s="1"/>
  <c r="PU41" i="21"/>
  <c r="PU38" i="21"/>
  <c r="SH41" i="21"/>
  <c r="SH38" i="21"/>
  <c r="UY41" i="21"/>
  <c r="UY38" i="21"/>
  <c r="WC41" i="21"/>
  <c r="WC38" i="21"/>
  <c r="WC39" i="21" s="1"/>
  <c r="XS38" i="21"/>
  <c r="XS41" i="21"/>
  <c r="EK35" i="21"/>
  <c r="EK43" i="21" s="1"/>
  <c r="HI33" i="21"/>
  <c r="HI35" i="21" s="1"/>
  <c r="HI43" i="21" s="1"/>
  <c r="HK35" i="21"/>
  <c r="HK43" i="21" s="1"/>
  <c r="KU35" i="21"/>
  <c r="KU43" i="21" s="1"/>
  <c r="OK35" i="21"/>
  <c r="OK43" i="21" s="1"/>
  <c r="OJ33" i="21"/>
  <c r="TB35" i="21"/>
  <c r="TB43" i="21" s="1"/>
  <c r="XI35" i="21"/>
  <c r="XI43" i="21" s="1"/>
  <c r="YB35" i="21"/>
  <c r="YB43" i="21" s="1"/>
  <c r="FR35" i="21"/>
  <c r="FR43" i="21" s="1"/>
  <c r="VL29" i="21"/>
  <c r="LK30" i="21"/>
  <c r="LP30" i="21"/>
  <c r="TL30" i="21"/>
  <c r="YZ30" i="21"/>
  <c r="ZZ30" i="21"/>
  <c r="AI38" i="21"/>
  <c r="AI41" i="21"/>
  <c r="BO41" i="21"/>
  <c r="BO38" i="21"/>
  <c r="DY38" i="21"/>
  <c r="DY48" i="21" s="1"/>
  <c r="DY41" i="21"/>
  <c r="GE38" i="21"/>
  <c r="GE48" i="21" s="1"/>
  <c r="GE41" i="21"/>
  <c r="HC41" i="21"/>
  <c r="HC38" i="21"/>
  <c r="HS41" i="21"/>
  <c r="IC38" i="21"/>
  <c r="IC41" i="21"/>
  <c r="JQ38" i="21"/>
  <c r="JQ48" i="21" s="1"/>
  <c r="JQ41" i="21"/>
  <c r="OO38" i="21"/>
  <c r="OO48" i="21" s="1"/>
  <c r="OO41" i="21"/>
  <c r="PE41" i="21"/>
  <c r="PE38" i="21"/>
  <c r="RE38" i="21"/>
  <c r="RE48" i="21" s="1"/>
  <c r="RE41" i="21"/>
  <c r="TI38" i="21"/>
  <c r="TI41" i="21"/>
  <c r="WE41" i="21"/>
  <c r="WE38" i="21"/>
  <c r="YL41" i="21"/>
  <c r="YL38" i="21"/>
  <c r="AAU38" i="21"/>
  <c r="AAU41" i="21"/>
  <c r="EO35" i="21"/>
  <c r="EO43" i="21" s="1"/>
  <c r="EN33" i="21"/>
  <c r="HM35" i="21"/>
  <c r="HM43" i="21" s="1"/>
  <c r="HL33" i="21"/>
  <c r="JR33" i="21"/>
  <c r="JS35" i="21"/>
  <c r="JS43" i="21" s="1"/>
  <c r="LW35" i="21"/>
  <c r="LW43" i="21" s="1"/>
  <c r="LV33" i="21"/>
  <c r="NB33" i="21"/>
  <c r="NJ35" i="21"/>
  <c r="NJ43" i="21" s="1"/>
  <c r="SM35" i="21"/>
  <c r="SM43" i="21" s="1"/>
  <c r="SJ33" i="21"/>
  <c r="WW35" i="21"/>
  <c r="WW43" i="21" s="1"/>
  <c r="XM35" i="21"/>
  <c r="XM43" i="21" s="1"/>
  <c r="XL33" i="21"/>
  <c r="XX34" i="21"/>
  <c r="G41" i="21"/>
  <c r="G38" i="21"/>
  <c r="EF41" i="21"/>
  <c r="EF38" i="21"/>
  <c r="EF48" i="21" s="1"/>
  <c r="FF38" i="21"/>
  <c r="FF41" i="21"/>
  <c r="GD38" i="21"/>
  <c r="GD41" i="21"/>
  <c r="HT41" i="21"/>
  <c r="IB38" i="21"/>
  <c r="IB41" i="21"/>
  <c r="JJ41" i="21"/>
  <c r="JJ38" i="21"/>
  <c r="JJ48" i="21" s="1"/>
  <c r="KX41" i="21"/>
  <c r="KX38" i="21"/>
  <c r="LF41" i="21"/>
  <c r="LF38" i="21"/>
  <c r="OP38" i="21"/>
  <c r="OP48" i="21" s="1"/>
  <c r="OP41" i="21"/>
  <c r="OX41" i="21"/>
  <c r="OX38" i="21"/>
  <c r="PF38" i="21"/>
  <c r="PF41" i="21"/>
  <c r="PV38" i="21"/>
  <c r="PV41" i="21"/>
  <c r="QX41" i="21"/>
  <c r="QX38" i="21"/>
  <c r="TJ38" i="21"/>
  <c r="TJ39" i="21" s="1"/>
  <c r="TJ48" i="21" s="1"/>
  <c r="TJ41" i="21"/>
  <c r="UX38" i="21"/>
  <c r="UX41" i="21"/>
  <c r="XJ41" i="21"/>
  <c r="XJ38" i="21"/>
  <c r="YP38" i="21"/>
  <c r="YP41" i="21"/>
  <c r="AAL41" i="21"/>
  <c r="AAL38" i="21"/>
  <c r="HV38" i="21"/>
  <c r="TX38" i="21"/>
  <c r="XD38" i="21"/>
  <c r="IU41" i="21"/>
  <c r="RQ41" i="21"/>
  <c r="E30" i="21"/>
  <c r="AV30" i="21"/>
  <c r="QO30" i="21"/>
  <c r="XW30" i="21"/>
  <c r="XU30" i="21" s="1"/>
  <c r="Q41" i="21"/>
  <c r="AB41" i="21"/>
  <c r="AB38" i="21"/>
  <c r="AT41" i="21"/>
  <c r="AT38" i="21"/>
  <c r="AT48" i="21" s="1"/>
  <c r="CT41" i="21"/>
  <c r="CT38" i="21"/>
  <c r="CT48" i="21" s="1"/>
  <c r="DZ41" i="21"/>
  <c r="DZ38" i="21"/>
  <c r="DZ48" i="21" s="1"/>
  <c r="FX41" i="21"/>
  <c r="FX38" i="21"/>
  <c r="IT41" i="21"/>
  <c r="IT38" i="21"/>
  <c r="NL41" i="21"/>
  <c r="NL38" i="21"/>
  <c r="NL48" i="21" s="1"/>
  <c r="TT41" i="21"/>
  <c r="TT38" i="21"/>
  <c r="UZ41" i="21"/>
  <c r="UZ38" i="21"/>
  <c r="YR41" i="21"/>
  <c r="YR38" i="21"/>
  <c r="YR48" i="21" s="1"/>
  <c r="AAF41" i="21"/>
  <c r="AAF38" i="21"/>
  <c r="AAN41" i="21"/>
  <c r="AAN38" i="21"/>
  <c r="AAV38" i="21" s="1"/>
  <c r="ID33" i="21"/>
  <c r="ID35" i="21" s="1"/>
  <c r="ID43" i="21" s="1"/>
  <c r="IP33" i="21"/>
  <c r="JL33" i="21"/>
  <c r="KP33" i="21"/>
  <c r="QZ33" i="21"/>
  <c r="WF33" i="21"/>
  <c r="WF34" i="21"/>
  <c r="M38" i="21"/>
  <c r="KN41" i="21"/>
  <c r="AC41" i="21"/>
  <c r="AC38" i="21"/>
  <c r="AM41" i="21"/>
  <c r="AM38" i="21"/>
  <c r="AU41" i="21"/>
  <c r="AU38" i="21"/>
  <c r="BK41" i="21"/>
  <c r="BK38" i="21"/>
  <c r="CA38" i="21"/>
  <c r="CA41" i="21"/>
  <c r="CU41" i="21"/>
  <c r="CU38" i="21"/>
  <c r="CU48" i="21" s="1"/>
  <c r="EA41" i="21"/>
  <c r="EA38" i="21"/>
  <c r="EA48" i="21" s="1"/>
  <c r="FY41" i="21"/>
  <c r="FY38" i="21"/>
  <c r="HG41" i="21"/>
  <c r="HG38" i="21"/>
  <c r="KC41" i="21"/>
  <c r="KC38" i="21"/>
  <c r="LI41" i="21"/>
  <c r="LI38" i="21"/>
  <c r="NM38" i="21"/>
  <c r="NM48" i="21" s="1"/>
  <c r="NM41" i="21"/>
  <c r="SO41" i="21"/>
  <c r="SO38" i="21"/>
  <c r="SO48" i="21" s="1"/>
  <c r="SW41" i="21"/>
  <c r="SW38" i="21"/>
  <c r="VA41" i="21"/>
  <c r="VA38" i="21"/>
  <c r="VY41" i="21"/>
  <c r="VY38" i="21"/>
  <c r="VY39" i="21" s="1"/>
  <c r="XE41" i="21"/>
  <c r="XE38" i="21"/>
  <c r="XM41" i="21"/>
  <c r="YK41" i="21"/>
  <c r="YK38" i="21"/>
  <c r="YK48" i="21" s="1"/>
  <c r="ZA41" i="21"/>
  <c r="ZA38" i="21"/>
  <c r="AAG38" i="21"/>
  <c r="AAG41" i="21"/>
  <c r="AAO38" i="21"/>
  <c r="AAO41" i="21"/>
  <c r="FT34" i="21"/>
  <c r="O38" i="21"/>
  <c r="ET38" i="21"/>
  <c r="ET48" i="21" s="1"/>
  <c r="SV38" i="21"/>
  <c r="I41" i="21"/>
  <c r="EW35" i="21"/>
  <c r="EW43" i="21" s="1"/>
  <c r="Q38" i="21"/>
  <c r="HB38" i="21"/>
  <c r="HB48" i="21" s="1"/>
  <c r="MJ38" i="21"/>
  <c r="WJ38" i="21"/>
  <c r="HQ41" i="21"/>
  <c r="BU41" i="21"/>
  <c r="BU38" i="21"/>
  <c r="DE41" i="21"/>
  <c r="DE38" i="21"/>
  <c r="ES38" i="21"/>
  <c r="ES48" i="21" s="1"/>
  <c r="ES41" i="21"/>
  <c r="HA41" i="21"/>
  <c r="HA38" i="21"/>
  <c r="HA48" i="21" s="1"/>
  <c r="IO41" i="21"/>
  <c r="IO38" i="21"/>
  <c r="JW41" i="21"/>
  <c r="JW38" i="21"/>
  <c r="LC38" i="21"/>
  <c r="LC41" i="21"/>
  <c r="MI41" i="21"/>
  <c r="MI38" i="21"/>
  <c r="MA39" i="21" s="1"/>
  <c r="MY41" i="21"/>
  <c r="MY38" i="21"/>
  <c r="NO38" i="21"/>
  <c r="NO41" i="21"/>
  <c r="QM41" i="21"/>
  <c r="QM38" i="21"/>
  <c r="RK41" i="21"/>
  <c r="RK38" i="21"/>
  <c r="SI41" i="21"/>
  <c r="SI38" i="21"/>
  <c r="SQ41" i="21"/>
  <c r="SQ38" i="21"/>
  <c r="SQ48" i="21" s="1"/>
  <c r="TG41" i="21"/>
  <c r="TG38" i="21"/>
  <c r="TW41" i="21"/>
  <c r="TW38" i="21"/>
  <c r="VS41" i="21"/>
  <c r="VS38" i="21"/>
  <c r="WA41" i="21"/>
  <c r="WA38" i="21"/>
  <c r="WA39" i="21" s="1"/>
  <c r="WQ41" i="21"/>
  <c r="WQ38" i="21"/>
  <c r="WY41" i="21"/>
  <c r="WY38" i="21"/>
  <c r="WY48" i="21" s="1"/>
  <c r="XO41" i="21"/>
  <c r="XO38" i="21"/>
  <c r="YM41" i="21"/>
  <c r="YM38" i="21"/>
  <c r="YM48" i="21" s="1"/>
  <c r="ZC41" i="21"/>
  <c r="ZC38" i="21"/>
  <c r="AAI41" i="21"/>
  <c r="AAI38" i="21"/>
  <c r="AAQ41" i="21"/>
  <c r="AAQ38" i="21"/>
  <c r="OR33" i="21"/>
  <c r="SX33" i="21"/>
  <c r="XX33" i="21"/>
  <c r="DN38" i="21"/>
  <c r="RP38" i="21"/>
  <c r="TH38" i="21"/>
  <c r="AAB38" i="21"/>
  <c r="CO41" i="21"/>
  <c r="HW41" i="21"/>
  <c r="TU41" i="21"/>
  <c r="ZY41" i="21"/>
  <c r="U41" i="21"/>
  <c r="U38" i="21"/>
  <c r="DF41" i="21"/>
  <c r="DF38" i="21"/>
  <c r="EL41" i="21"/>
  <c r="EL38" i="21"/>
  <c r="GJ41" i="21"/>
  <c r="GJ38" i="21"/>
  <c r="GJ39" i="21" s="1"/>
  <c r="F65" i="11" s="1"/>
  <c r="JP38" i="21"/>
  <c r="JP48" i="21" s="1"/>
  <c r="JP41" i="21"/>
  <c r="KV41" i="21"/>
  <c r="KV38" i="21"/>
  <c r="MB38" i="21"/>
  <c r="MB41" i="21"/>
  <c r="RD41" i="21"/>
  <c r="RD38" i="21"/>
  <c r="RD48" i="21" s="1"/>
  <c r="UV41" i="21"/>
  <c r="UV38" i="21"/>
  <c r="ZD41" i="21"/>
  <c r="ZD38" i="21"/>
  <c r="AH38" i="21"/>
  <c r="FL38" i="21"/>
  <c r="LD38" i="21"/>
  <c r="QD38" i="21"/>
  <c r="YJ38" i="21"/>
  <c r="YJ48" i="21" s="1"/>
  <c r="MA41" i="21"/>
  <c r="GD48" i="21"/>
  <c r="KV48" i="21"/>
  <c r="NJ16" i="21" l="1"/>
  <c r="NJ14" i="21"/>
  <c r="NJ17" i="21"/>
  <c r="NV38" i="21"/>
  <c r="HW39" i="21"/>
  <c r="HW48" i="21" s="1"/>
  <c r="MC39" i="21"/>
  <c r="NW38" i="21"/>
  <c r="OH31" i="21"/>
  <c r="OH41" i="21" s="1"/>
  <c r="NQ41" i="21"/>
  <c r="OY39" i="21"/>
  <c r="OY48" i="21" s="1"/>
  <c r="NP42" i="21"/>
  <c r="QN13" i="21"/>
  <c r="I50" i="9"/>
  <c r="HT38" i="21"/>
  <c r="QN15" i="21"/>
  <c r="ZZ28" i="21"/>
  <c r="ZN28" i="21" s="1"/>
  <c r="ZL28" i="21" s="1"/>
  <c r="OB22" i="21"/>
  <c r="NJ23" i="21"/>
  <c r="NJ20" i="21"/>
  <c r="NJ26" i="21"/>
  <c r="NJ24" i="21"/>
  <c r="NJ15" i="21"/>
  <c r="RU42" i="21"/>
  <c r="MB39" i="21"/>
  <c r="MB48" i="21" s="1"/>
  <c r="XU15" i="21"/>
  <c r="OW39" i="21"/>
  <c r="OW48" i="21" s="1"/>
  <c r="LM31" i="21"/>
  <c r="LM41" i="21" s="1"/>
  <c r="IG42" i="21"/>
  <c r="AAW38" i="21"/>
  <c r="DS42" i="21"/>
  <c r="AAD42" i="21"/>
  <c r="BU39" i="21"/>
  <c r="BU47" i="21" s="1"/>
  <c r="AAD31" i="21"/>
  <c r="AAD41" i="21" s="1"/>
  <c r="PL42" i="21"/>
  <c r="NQ38" i="21"/>
  <c r="FQ35" i="21"/>
  <c r="FQ43" i="21" s="1"/>
  <c r="KX39" i="21"/>
  <c r="QN18" i="21"/>
  <c r="DQ14" i="21"/>
  <c r="DQ42" i="21" s="1"/>
  <c r="G39" i="21"/>
  <c r="JV39" i="21"/>
  <c r="JV48" i="21" s="1"/>
  <c r="GJ48" i="21"/>
  <c r="WQ48" i="21"/>
  <c r="QD39" i="21"/>
  <c r="YZ21" i="21"/>
  <c r="RU31" i="21"/>
  <c r="IT48" i="21"/>
  <c r="IT39" i="21"/>
  <c r="F429" i="11" s="1"/>
  <c r="F69" i="11"/>
  <c r="GK48" i="21"/>
  <c r="C32" i="15"/>
  <c r="RJ39" i="21"/>
  <c r="IG31" i="21"/>
  <c r="IG38" i="21" s="1"/>
  <c r="DS31" i="21"/>
  <c r="XW31" i="21"/>
  <c r="XW41" i="21" s="1"/>
  <c r="IU48" i="21"/>
  <c r="IU39" i="21"/>
  <c r="E52" i="21"/>
  <c r="OA42" i="21"/>
  <c r="JW39" i="21"/>
  <c r="JW48" i="21" s="1"/>
  <c r="FN17" i="21"/>
  <c r="QN21" i="21"/>
  <c r="LJ25" i="21"/>
  <c r="LJ23" i="21"/>
  <c r="PH13" i="21"/>
  <c r="XE46" i="21"/>
  <c r="XD46" i="21" s="1"/>
  <c r="XD48" i="21" s="1"/>
  <c r="PH14" i="21"/>
  <c r="NX29" i="21"/>
  <c r="ZN24" i="21"/>
  <c r="ZL24" i="21" s="1"/>
  <c r="PH27" i="21"/>
  <c r="ZZ19" i="21"/>
  <c r="ZX19" i="21" s="1"/>
  <c r="QN29" i="21"/>
  <c r="PH15" i="21"/>
  <c r="KP35" i="21"/>
  <c r="KP43" i="21" s="1"/>
  <c r="NP31" i="21"/>
  <c r="NJ25" i="21"/>
  <c r="NJ28" i="21"/>
  <c r="WT35" i="21"/>
  <c r="WT43" i="21" s="1"/>
  <c r="NJ27" i="21"/>
  <c r="ZX21" i="21"/>
  <c r="ZN21" i="21"/>
  <c r="ZL21" i="21" s="1"/>
  <c r="ML16" i="21"/>
  <c r="QN25" i="21"/>
  <c r="FN15" i="21"/>
  <c r="LJ30" i="21"/>
  <c r="KD29" i="21"/>
  <c r="LV35" i="21"/>
  <c r="LV43" i="21" s="1"/>
  <c r="ID19" i="21"/>
  <c r="RR18" i="21"/>
  <c r="PH29" i="21"/>
  <c r="NX16" i="21"/>
  <c r="QN23" i="21"/>
  <c r="FN28" i="21"/>
  <c r="AP35" i="21"/>
  <c r="AP43" i="21" s="1"/>
  <c r="FN14" i="21"/>
  <c r="FN21" i="21"/>
  <c r="ML17" i="21"/>
  <c r="RR28" i="21"/>
  <c r="BP16" i="21"/>
  <c r="YI15" i="21"/>
  <c r="WS15" i="21" s="1"/>
  <c r="YN42" i="21"/>
  <c r="YI16" i="21"/>
  <c r="WS16" i="21" s="1"/>
  <c r="PH28" i="21"/>
  <c r="SD42" i="21"/>
  <c r="AJ35" i="21"/>
  <c r="AJ43" i="21" s="1"/>
  <c r="YI19" i="21"/>
  <c r="WS19" i="21" s="1"/>
  <c r="NX21" i="21"/>
  <c r="VL35" i="21"/>
  <c r="VL43" i="21" s="1"/>
  <c r="RR23" i="21"/>
  <c r="KD19" i="21"/>
  <c r="ID15" i="21"/>
  <c r="RR17" i="21"/>
  <c r="YI17" i="21"/>
  <c r="WS17" i="21" s="1"/>
  <c r="NX19" i="21"/>
  <c r="KD23" i="21"/>
  <c r="KD22" i="21"/>
  <c r="QN26" i="21"/>
  <c r="RR22" i="21"/>
  <c r="LJ22" i="21"/>
  <c r="FZ35" i="21"/>
  <c r="FZ43" i="21" s="1"/>
  <c r="LJ14" i="21"/>
  <c r="FN24" i="21"/>
  <c r="KD26" i="21"/>
  <c r="LJ29" i="21"/>
  <c r="KJ42" i="21"/>
  <c r="NX17" i="21"/>
  <c r="KD21" i="21"/>
  <c r="LJ19" i="21"/>
  <c r="ML19" i="21"/>
  <c r="ML29" i="21"/>
  <c r="PK42" i="21"/>
  <c r="NX22" i="21"/>
  <c r="FN26" i="21"/>
  <c r="BK39" i="21"/>
  <c r="BK48" i="21" s="1"/>
  <c r="RR13" i="21"/>
  <c r="FN30" i="21"/>
  <c r="NX27" i="21"/>
  <c r="FN27" i="21"/>
  <c r="KD17" i="21"/>
  <c r="KD14" i="21"/>
  <c r="QN30" i="21"/>
  <c r="FG39" i="21"/>
  <c r="FG48" i="21" s="1"/>
  <c r="GV35" i="21"/>
  <c r="GV43" i="21" s="1"/>
  <c r="LJ16" i="21"/>
  <c r="PH25" i="21"/>
  <c r="ID30" i="21"/>
  <c r="SD35" i="21"/>
  <c r="SD43" i="21" s="1"/>
  <c r="DP16" i="21"/>
  <c r="ML26" i="21"/>
  <c r="DG39" i="21"/>
  <c r="DG48" i="21" s="1"/>
  <c r="LJ28" i="21"/>
  <c r="MT42" i="21"/>
  <c r="PL31" i="21"/>
  <c r="PL41" i="21" s="1"/>
  <c r="ID20" i="21"/>
  <c r="YI18" i="21"/>
  <c r="WS18" i="21" s="1"/>
  <c r="ID22" i="21"/>
  <c r="EN35" i="21"/>
  <c r="EN43" i="21" s="1"/>
  <c r="QN27" i="21"/>
  <c r="FN23" i="21"/>
  <c r="ML20" i="21"/>
  <c r="ID29" i="21"/>
  <c r="ID18" i="21"/>
  <c r="PH19" i="21"/>
  <c r="YZ42" i="21"/>
  <c r="ZF35" i="21"/>
  <c r="ZF43" i="21" s="1"/>
  <c r="LJ17" i="21"/>
  <c r="RR25" i="21"/>
  <c r="QN28" i="21"/>
  <c r="ZF22" i="21"/>
  <c r="ZF16" i="21"/>
  <c r="ML15" i="21"/>
  <c r="TZ15" i="21"/>
  <c r="QN20" i="21"/>
  <c r="PH26" i="21"/>
  <c r="TZ30" i="21"/>
  <c r="JR35" i="21"/>
  <c r="JR43" i="21" s="1"/>
  <c r="LJ24" i="21"/>
  <c r="FN16" i="21"/>
  <c r="ML14" i="21"/>
  <c r="EH42" i="21"/>
  <c r="KD16" i="21"/>
  <c r="RR27" i="21"/>
  <c r="GV42" i="21"/>
  <c r="MO42" i="21"/>
  <c r="ZF19" i="21"/>
  <c r="ZK42" i="21"/>
  <c r="ZF17" i="21"/>
  <c r="CV35" i="21"/>
  <c r="CV43" i="21" s="1"/>
  <c r="LJ26" i="21"/>
  <c r="KE42" i="21"/>
  <c r="NZ42" i="21"/>
  <c r="PH20" i="21"/>
  <c r="RR26" i="21"/>
  <c r="KD25" i="21"/>
  <c r="IF42" i="21"/>
  <c r="ML28" i="21"/>
  <c r="RR24" i="21"/>
  <c r="PH18" i="21"/>
  <c r="RR20" i="21"/>
  <c r="FN29" i="21"/>
  <c r="IJ42" i="21"/>
  <c r="FH42" i="21"/>
  <c r="ML30" i="21"/>
  <c r="FT42" i="21"/>
  <c r="RR30" i="21"/>
  <c r="KD30" i="21"/>
  <c r="YI26" i="21"/>
  <c r="WS26" i="21" s="1"/>
  <c r="ID17" i="21"/>
  <c r="RF35" i="21"/>
  <c r="RF43" i="21" s="1"/>
  <c r="NX25" i="21"/>
  <c r="PH21" i="21"/>
  <c r="MM42" i="21"/>
  <c r="KD24" i="21"/>
  <c r="QN22" i="21"/>
  <c r="ID16" i="21"/>
  <c r="PH17" i="21"/>
  <c r="PH23" i="21"/>
  <c r="NX14" i="21"/>
  <c r="KD13" i="21"/>
  <c r="NX15" i="21"/>
  <c r="OZ42" i="21"/>
  <c r="PH24" i="21"/>
  <c r="CP42" i="21"/>
  <c r="RX42" i="21"/>
  <c r="TZ22" i="21"/>
  <c r="RF42" i="21"/>
  <c r="DT35" i="21"/>
  <c r="DT43" i="21" s="1"/>
  <c r="ID25" i="21"/>
  <c r="DT42" i="21"/>
  <c r="ML27" i="21"/>
  <c r="LL42" i="21"/>
  <c r="UE42" i="21"/>
  <c r="TZ17" i="21"/>
  <c r="LJ20" i="21"/>
  <c r="QN16" i="21"/>
  <c r="WZ42" i="21"/>
  <c r="KD27" i="21"/>
  <c r="RR15" i="21"/>
  <c r="ZF25" i="21"/>
  <c r="KD28" i="21"/>
  <c r="ZF30" i="21"/>
  <c r="TZ14" i="21"/>
  <c r="YI28" i="21"/>
  <c r="WS28" i="21" s="1"/>
  <c r="YI21" i="21"/>
  <c r="ML21" i="21"/>
  <c r="MN42" i="21"/>
  <c r="KD18" i="21"/>
  <c r="LJ15" i="21"/>
  <c r="BH35" i="21"/>
  <c r="BH43" i="21" s="1"/>
  <c r="QT42" i="21"/>
  <c r="DP26" i="21"/>
  <c r="FN19" i="21"/>
  <c r="FP42" i="21"/>
  <c r="QN14" i="21"/>
  <c r="ML13" i="21"/>
  <c r="NX23" i="21"/>
  <c r="AV42" i="21"/>
  <c r="ID21" i="21"/>
  <c r="TZ25" i="21"/>
  <c r="AP42" i="21"/>
  <c r="TZ29" i="21"/>
  <c r="RR16" i="21"/>
  <c r="LJ18" i="21"/>
  <c r="NX30" i="21"/>
  <c r="ID14" i="21"/>
  <c r="NB35" i="21"/>
  <c r="NB43" i="21" s="1"/>
  <c r="PH16" i="21"/>
  <c r="TZ16" i="21"/>
  <c r="KZ42" i="21"/>
  <c r="QN19" i="21"/>
  <c r="R35" i="21"/>
  <c r="R43" i="21" s="1"/>
  <c r="WR25" i="21"/>
  <c r="WR27" i="21"/>
  <c r="PH22" i="21"/>
  <c r="WR19" i="21"/>
  <c r="WR17" i="21"/>
  <c r="WR15" i="21"/>
  <c r="WR20" i="21"/>
  <c r="WR23" i="21"/>
  <c r="WR18" i="21"/>
  <c r="WR30" i="21"/>
  <c r="WR16" i="21"/>
  <c r="WR26" i="21"/>
  <c r="WR13" i="21"/>
  <c r="WR14" i="21"/>
  <c r="WR21" i="21"/>
  <c r="WR24" i="21"/>
  <c r="WR33" i="21"/>
  <c r="WR29" i="21"/>
  <c r="WR22" i="21"/>
  <c r="WR34" i="21"/>
  <c r="WR28" i="21"/>
  <c r="KF42" i="21"/>
  <c r="ML18" i="21"/>
  <c r="TZ21" i="21"/>
  <c r="FN18" i="21"/>
  <c r="NX26" i="21"/>
  <c r="UE31" i="21"/>
  <c r="NX18" i="21"/>
  <c r="NB42" i="21"/>
  <c r="EV35" i="21"/>
  <c r="EV43" i="21" s="1"/>
  <c r="EB42" i="21"/>
  <c r="HX42" i="21"/>
  <c r="YI24" i="21"/>
  <c r="WS24" i="21" s="1"/>
  <c r="WZ35" i="21"/>
  <c r="WZ43" i="21" s="1"/>
  <c r="XF35" i="21"/>
  <c r="XF43" i="21" s="1"/>
  <c r="JL35" i="21"/>
  <c r="JL43" i="21" s="1"/>
  <c r="GF35" i="21"/>
  <c r="GF43" i="21" s="1"/>
  <c r="WL35" i="21"/>
  <c r="WL43" i="21" s="1"/>
  <c r="ML24" i="21"/>
  <c r="EH35" i="21"/>
  <c r="EH43" i="21" s="1"/>
  <c r="ZK31" i="21"/>
  <c r="ZK38" i="21" s="1"/>
  <c r="EV31" i="21"/>
  <c r="TZ23" i="21"/>
  <c r="LJ27" i="21"/>
  <c r="ZF24" i="21"/>
  <c r="IP35" i="21"/>
  <c r="IP43" i="21" s="1"/>
  <c r="JF35" i="21"/>
  <c r="JF43" i="21" s="1"/>
  <c r="SR42" i="21"/>
  <c r="QH42" i="21"/>
  <c r="CP35" i="21"/>
  <c r="CP43" i="21" s="1"/>
  <c r="TZ20" i="21"/>
  <c r="NX28" i="21"/>
  <c r="KD20" i="21"/>
  <c r="SX35" i="21"/>
  <c r="SX43" i="21" s="1"/>
  <c r="HL35" i="21"/>
  <c r="HL43" i="21" s="1"/>
  <c r="OR42" i="21"/>
  <c r="IF31" i="21"/>
  <c r="ZF15" i="21"/>
  <c r="YN31" i="21"/>
  <c r="YI13" i="21"/>
  <c r="WS13" i="21" s="1"/>
  <c r="XF42" i="21"/>
  <c r="TZ28" i="21"/>
  <c r="ZF28" i="21"/>
  <c r="ML25" i="21"/>
  <c r="JX42" i="21"/>
  <c r="TZ18" i="21"/>
  <c r="EV42" i="21"/>
  <c r="IP42" i="21"/>
  <c r="ML23" i="21"/>
  <c r="TZ19" i="21"/>
  <c r="YI27" i="21"/>
  <c r="WS27" i="21" s="1"/>
  <c r="EB35" i="21"/>
  <c r="EB43" i="21" s="1"/>
  <c r="TZ24" i="21"/>
  <c r="ZF14" i="21"/>
  <c r="FN22" i="21"/>
  <c r="YI25" i="21"/>
  <c r="WS25" i="21" s="1"/>
  <c r="HR35" i="21"/>
  <c r="HR43" i="21" s="1"/>
  <c r="YI20" i="21"/>
  <c r="YI30" i="21"/>
  <c r="WS30" i="21" s="1"/>
  <c r="OJ35" i="21"/>
  <c r="OJ43" i="21" s="1"/>
  <c r="KZ31" i="21"/>
  <c r="KZ38" i="21" s="1"/>
  <c r="FB35" i="21"/>
  <c r="FB43" i="21" s="1"/>
  <c r="EH31" i="21"/>
  <c r="LV42" i="21"/>
  <c r="YI23" i="21"/>
  <c r="WS23" i="21" s="1"/>
  <c r="ID28" i="21"/>
  <c r="QZ35" i="21"/>
  <c r="QZ43" i="21" s="1"/>
  <c r="ZF29" i="21"/>
  <c r="GF42" i="21"/>
  <c r="RF31" i="21"/>
  <c r="ML22" i="21"/>
  <c r="SR35" i="21"/>
  <c r="SR43" i="21" s="1"/>
  <c r="FZ42" i="21"/>
  <c r="YI29" i="21"/>
  <c r="WS29" i="21" s="1"/>
  <c r="YI34" i="21"/>
  <c r="WS34" i="21" s="1"/>
  <c r="YI22" i="21"/>
  <c r="YI14" i="21"/>
  <c r="WS14" i="21" s="1"/>
  <c r="ZF18" i="21"/>
  <c r="IJ31" i="21"/>
  <c r="EB31" i="21"/>
  <c r="AP31" i="21"/>
  <c r="KE31" i="21"/>
  <c r="KE38" i="21" s="1"/>
  <c r="TZ26" i="21"/>
  <c r="R42" i="21"/>
  <c r="NR31" i="21"/>
  <c r="NR38" i="21" s="1"/>
  <c r="NX20" i="21"/>
  <c r="PH30" i="21"/>
  <c r="DJ31" i="21"/>
  <c r="DJ38" i="21" s="1"/>
  <c r="PJ31" i="21"/>
  <c r="PJ38" i="21" s="1"/>
  <c r="IP31" i="21"/>
  <c r="IP38" i="21" s="1"/>
  <c r="NX24" i="21"/>
  <c r="KD15" i="21"/>
  <c r="FZ31" i="21"/>
  <c r="FN20" i="21"/>
  <c r="KJ31" i="21"/>
  <c r="CP31" i="21"/>
  <c r="PK31" i="21"/>
  <c r="NR42" i="21"/>
  <c r="ZF23" i="21"/>
  <c r="J35" i="21"/>
  <c r="J43" i="21" s="1"/>
  <c r="CV42" i="21"/>
  <c r="FN25" i="21"/>
  <c r="HJ31" i="21"/>
  <c r="HJ38" i="21" s="1"/>
  <c r="OR31" i="21"/>
  <c r="MT31" i="21"/>
  <c r="TZ27" i="21"/>
  <c r="ZF20" i="21"/>
  <c r="QN24" i="21"/>
  <c r="TL42" i="21"/>
  <c r="GV31" i="21"/>
  <c r="RR29" i="21"/>
  <c r="JX31" i="21"/>
  <c r="QT31" i="21"/>
  <c r="OZ31" i="21"/>
  <c r="SD31" i="21"/>
  <c r="VL31" i="21"/>
  <c r="YT31" i="21"/>
  <c r="YT38" i="21" s="1"/>
  <c r="QN17" i="21"/>
  <c r="RR21" i="21"/>
  <c r="HS38" i="21"/>
  <c r="FT35" i="21"/>
  <c r="FT43" i="21" s="1"/>
  <c r="GF31" i="21"/>
  <c r="YT42" i="21"/>
  <c r="OJ42" i="21"/>
  <c r="MN31" i="21"/>
  <c r="MN38" i="21" s="1"/>
  <c r="HX31" i="21"/>
  <c r="NB31" i="21"/>
  <c r="DT31" i="21"/>
  <c r="DT38" i="21" s="1"/>
  <c r="LJ21" i="21"/>
  <c r="SJ31" i="21"/>
  <c r="ID23" i="21"/>
  <c r="SJ35" i="21"/>
  <c r="SJ43" i="21" s="1"/>
  <c r="XF31" i="21"/>
  <c r="ZF26" i="21"/>
  <c r="DP28" i="21"/>
  <c r="JR31" i="21"/>
  <c r="EN42" i="21"/>
  <c r="FT31" i="21"/>
  <c r="FH31" i="21"/>
  <c r="ZF21" i="21"/>
  <c r="LV31" i="21"/>
  <c r="ID27" i="21"/>
  <c r="ID26" i="21"/>
  <c r="ID24" i="21"/>
  <c r="SX31" i="21"/>
  <c r="DR20" i="21"/>
  <c r="DP20" i="21" s="1"/>
  <c r="OR35" i="21"/>
  <c r="OR43" i="21" s="1"/>
  <c r="TL31" i="21"/>
  <c r="TL38" i="21" s="1"/>
  <c r="XM38" i="21"/>
  <c r="SX42" i="21"/>
  <c r="EN31" i="21"/>
  <c r="QH31" i="21"/>
  <c r="RR14" i="21"/>
  <c r="RR19" i="21"/>
  <c r="AV31" i="21"/>
  <c r="ZF27" i="21"/>
  <c r="HJ42" i="21"/>
  <c r="KF31" i="21"/>
  <c r="DJ42" i="21"/>
  <c r="RU38" i="21"/>
  <c r="RU41" i="21"/>
  <c r="DS41" i="21"/>
  <c r="DS38" i="21"/>
  <c r="TH48" i="21"/>
  <c r="TH39" i="21"/>
  <c r="RK48" i="21"/>
  <c r="RK39" i="21"/>
  <c r="OT41" i="21"/>
  <c r="OT38" i="21"/>
  <c r="KQ38" i="21"/>
  <c r="KQ41" i="21"/>
  <c r="FW38" i="21"/>
  <c r="FW41" i="21"/>
  <c r="PO41" i="21"/>
  <c r="PO38" i="21"/>
  <c r="GH41" i="21"/>
  <c r="GH38" i="21"/>
  <c r="GH39" i="21" s="1"/>
  <c r="UU41" i="21"/>
  <c r="UU38" i="21"/>
  <c r="RH41" i="21"/>
  <c r="RH38" i="21"/>
  <c r="EX41" i="21"/>
  <c r="EX38" i="21"/>
  <c r="WH41" i="21"/>
  <c r="WH38" i="21"/>
  <c r="UH41" i="21"/>
  <c r="UH38" i="21"/>
  <c r="RC41" i="21"/>
  <c r="RC38" i="21"/>
  <c r="MQ38" i="21"/>
  <c r="MQ41" i="21"/>
  <c r="FQ42" i="21"/>
  <c r="FQ31" i="21"/>
  <c r="K41" i="21"/>
  <c r="K38" i="21"/>
  <c r="YH41" i="21"/>
  <c r="YH38" i="21"/>
  <c r="LR41" i="21"/>
  <c r="LR38" i="21"/>
  <c r="FD41" i="21"/>
  <c r="FD38" i="21"/>
  <c r="J42" i="21"/>
  <c r="J31" i="21"/>
  <c r="PQ38" i="21"/>
  <c r="PQ41" i="21"/>
  <c r="ME38" i="21"/>
  <c r="ME41" i="21"/>
  <c r="EQ38" i="21"/>
  <c r="EQ41" i="21"/>
  <c r="XL41" i="21"/>
  <c r="AK38" i="21"/>
  <c r="AK41" i="21"/>
  <c r="CM38" i="21"/>
  <c r="CM41" i="21"/>
  <c r="SJ42" i="21"/>
  <c r="LM38" i="21"/>
  <c r="H41" i="21"/>
  <c r="H38" i="21"/>
  <c r="LB41" i="21"/>
  <c r="LB38" i="21"/>
  <c r="WO41" i="21"/>
  <c r="WO38" i="21"/>
  <c r="VK53" i="21" s="1"/>
  <c r="VK54" i="21" s="1"/>
  <c r="SS41" i="21"/>
  <c r="SS38" i="21"/>
  <c r="ZX15" i="21"/>
  <c r="ZN15" i="21"/>
  <c r="ZL15" i="21" s="1"/>
  <c r="UC42" i="21"/>
  <c r="UC31" i="21"/>
  <c r="JF42" i="21"/>
  <c r="JF31" i="21"/>
  <c r="BY41" i="21"/>
  <c r="BY38" i="21"/>
  <c r="CY38" i="21"/>
  <c r="CY41" i="21"/>
  <c r="WV41" i="21"/>
  <c r="WV38" i="21"/>
  <c r="SZ41" i="21"/>
  <c r="SZ38" i="21"/>
  <c r="QU41" i="21"/>
  <c r="QU38" i="21"/>
  <c r="OM41" i="21"/>
  <c r="OM38" i="21"/>
  <c r="MS38" i="21"/>
  <c r="MS41" i="21"/>
  <c r="KK41" i="21"/>
  <c r="KK38" i="21"/>
  <c r="II38" i="21"/>
  <c r="II41" i="21"/>
  <c r="EW38" i="21"/>
  <c r="EW41" i="21"/>
  <c r="BC41" i="21"/>
  <c r="BC38" i="21"/>
  <c r="YB41" i="21"/>
  <c r="YB38" i="21"/>
  <c r="LL31" i="21"/>
  <c r="AQ38" i="21"/>
  <c r="AQ41" i="21"/>
  <c r="WF35" i="21"/>
  <c r="WF43" i="21" s="1"/>
  <c r="HV39" i="21"/>
  <c r="HV48" i="21" s="1"/>
  <c r="ZN30" i="21"/>
  <c r="ZL30" i="21" s="1"/>
  <c r="ZX30" i="21"/>
  <c r="FN33" i="21"/>
  <c r="FN35" i="21" s="1"/>
  <c r="FN43" i="21" s="1"/>
  <c r="FO35" i="21"/>
  <c r="FO43" i="21" s="1"/>
  <c r="WK48" i="21"/>
  <c r="WJ46" i="21"/>
  <c r="WJ48" i="21" s="1"/>
  <c r="KW48" i="21"/>
  <c r="KW39" i="21"/>
  <c r="YZ22" i="21"/>
  <c r="ZZ22" i="21"/>
  <c r="DQ21" i="21"/>
  <c r="DQ31" i="21" s="1"/>
  <c r="ZR42" i="21"/>
  <c r="ZR31" i="21"/>
  <c r="XP42" i="21"/>
  <c r="XP31" i="21"/>
  <c r="XV13" i="21"/>
  <c r="ST41" i="21"/>
  <c r="ST38" i="21"/>
  <c r="RA41" i="21"/>
  <c r="RA38" i="21"/>
  <c r="MO31" i="21"/>
  <c r="IE42" i="21"/>
  <c r="IE31" i="21"/>
  <c r="ID13" i="21"/>
  <c r="BR42" i="21"/>
  <c r="BR31" i="21"/>
  <c r="AL41" i="21"/>
  <c r="AL38" i="21"/>
  <c r="YF41" i="21"/>
  <c r="YF38" i="21"/>
  <c r="OF41" i="21"/>
  <c r="OF38" i="21"/>
  <c r="JT41" i="21"/>
  <c r="JT38" i="21"/>
  <c r="FB42" i="21"/>
  <c r="FB31" i="21"/>
  <c r="MU38" i="21"/>
  <c r="MU41" i="21"/>
  <c r="FU38" i="21"/>
  <c r="FU41" i="21"/>
  <c r="ZM38" i="21"/>
  <c r="ZM41" i="21"/>
  <c r="WZ31" i="21"/>
  <c r="PN41" i="21"/>
  <c r="PN38" i="21"/>
  <c r="GG41" i="21"/>
  <c r="GG38" i="21"/>
  <c r="GG39" i="21" s="1"/>
  <c r="E65" i="11" s="1"/>
  <c r="GX38" i="21"/>
  <c r="GX41" i="21"/>
  <c r="XI41" i="21"/>
  <c r="XI38" i="21"/>
  <c r="TO41" i="21"/>
  <c r="TO38" i="21"/>
  <c r="ON38" i="21"/>
  <c r="ON41" i="21"/>
  <c r="LX41" i="21"/>
  <c r="LX38" i="21"/>
  <c r="HZ38" i="21"/>
  <c r="HZ41" i="21"/>
  <c r="PS41" i="21"/>
  <c r="PS38" i="21"/>
  <c r="IH41" i="21"/>
  <c r="IH38" i="21"/>
  <c r="UR41" i="21"/>
  <c r="UR38" i="21"/>
  <c r="YY38" i="21"/>
  <c r="YY41" i="21"/>
  <c r="PJ42" i="21"/>
  <c r="KI38" i="21"/>
  <c r="KI41" i="21"/>
  <c r="HU38" i="21"/>
  <c r="HU41" i="21"/>
  <c r="FE38" i="21"/>
  <c r="FE41" i="21"/>
  <c r="CW38" i="21"/>
  <c r="CW41" i="21"/>
  <c r="UO38" i="21"/>
  <c r="UO41" i="21"/>
  <c r="QR41" i="21"/>
  <c r="QR38" i="21"/>
  <c r="UT41" i="21"/>
  <c r="UT38" i="21"/>
  <c r="NU41" i="21"/>
  <c r="NU38" i="21"/>
  <c r="HD41" i="21"/>
  <c r="HD38" i="21"/>
  <c r="E31" i="21"/>
  <c r="OJ31" i="21"/>
  <c r="AW41" i="21"/>
  <c r="AW38" i="21"/>
  <c r="TI48" i="21"/>
  <c r="TI39" i="21"/>
  <c r="KG42" i="21"/>
  <c r="KG31" i="21"/>
  <c r="BH42" i="21"/>
  <c r="BH31" i="21"/>
  <c r="EO41" i="21"/>
  <c r="EO38" i="21"/>
  <c r="UM41" i="21"/>
  <c r="UM38" i="21"/>
  <c r="UD42" i="21"/>
  <c r="UD31" i="21"/>
  <c r="DL41" i="21"/>
  <c r="DL38" i="21"/>
  <c r="QV41" i="21"/>
  <c r="QV38" i="21"/>
  <c r="EK41" i="21"/>
  <c r="EK38" i="21"/>
  <c r="WL42" i="21"/>
  <c r="WL31" i="21"/>
  <c r="OC38" i="21"/>
  <c r="OC41" i="21"/>
  <c r="EJ41" i="21"/>
  <c r="EJ38" i="21"/>
  <c r="MF41" i="21"/>
  <c r="MF38" i="21"/>
  <c r="WU38" i="21"/>
  <c r="WU41" i="21"/>
  <c r="L38" i="21"/>
  <c r="L41" i="21"/>
  <c r="ZX23" i="21"/>
  <c r="ZN23" i="21"/>
  <c r="ZL23" i="21" s="1"/>
  <c r="ZN25" i="21"/>
  <c r="ZL25" i="21" s="1"/>
  <c r="ZX25" i="21"/>
  <c r="YW41" i="21"/>
  <c r="YW38" i="21"/>
  <c r="UN31" i="21"/>
  <c r="UN42" i="21"/>
  <c r="SG41" i="21"/>
  <c r="SG38" i="21"/>
  <c r="QQ42" i="21"/>
  <c r="QQ31" i="21"/>
  <c r="MD42" i="21"/>
  <c r="MD31" i="21"/>
  <c r="JU41" i="21"/>
  <c r="JU38" i="21"/>
  <c r="FC38" i="21"/>
  <c r="FC41" i="21"/>
  <c r="DC41" i="21"/>
  <c r="DC38" i="21"/>
  <c r="AX41" i="21"/>
  <c r="AX38" i="21"/>
  <c r="F41" i="21"/>
  <c r="F38" i="21"/>
  <c r="ZQ41" i="21"/>
  <c r="ZQ38" i="21"/>
  <c r="XX42" i="21"/>
  <c r="XX31" i="21"/>
  <c r="NG41" i="21"/>
  <c r="NG38" i="21"/>
  <c r="JH41" i="21"/>
  <c r="JH38" i="21"/>
  <c r="SE41" i="21"/>
  <c r="SE38" i="21"/>
  <c r="LO38" i="21"/>
  <c r="LO41" i="21"/>
  <c r="UA42" i="21"/>
  <c r="UA31" i="21"/>
  <c r="TZ13" i="21"/>
  <c r="NF41" i="21"/>
  <c r="NF38" i="21"/>
  <c r="XG41" i="21"/>
  <c r="XG38" i="21"/>
  <c r="EI38" i="21"/>
  <c r="EI41" i="21"/>
  <c r="WW38" i="21"/>
  <c r="WW41" i="21"/>
  <c r="TA38" i="21"/>
  <c r="TA41" i="21"/>
  <c r="OD42" i="21"/>
  <c r="OD31" i="21"/>
  <c r="LN41" i="21"/>
  <c r="LN38" i="21"/>
  <c r="HL42" i="21"/>
  <c r="HL31" i="21"/>
  <c r="BM41" i="21"/>
  <c r="BM38" i="21"/>
  <c r="WI41" i="21"/>
  <c r="WI38" i="21"/>
  <c r="YC41" i="21"/>
  <c r="YC38" i="21"/>
  <c r="VX41" i="21"/>
  <c r="VX38" i="21"/>
  <c r="VN53" i="21" s="1"/>
  <c r="VN54" i="21" s="1"/>
  <c r="UJ41" i="21"/>
  <c r="UJ38" i="21"/>
  <c r="AG38" i="21"/>
  <c r="AG41" i="21"/>
  <c r="YA41" i="21"/>
  <c r="YA38" i="21"/>
  <c r="JY41" i="21"/>
  <c r="JY38" i="21"/>
  <c r="ER41" i="21"/>
  <c r="ER38" i="21"/>
  <c r="CL42" i="21"/>
  <c r="CL31" i="21"/>
  <c r="TS41" i="21"/>
  <c r="TS38" i="21"/>
  <c r="PI31" i="21"/>
  <c r="ZP41" i="21"/>
  <c r="ZP38" i="21"/>
  <c r="TB41" i="21"/>
  <c r="TB38" i="21"/>
  <c r="LY41" i="21"/>
  <c r="LY38" i="21"/>
  <c r="EY41" i="21"/>
  <c r="EY38" i="21"/>
  <c r="XZ38" i="21"/>
  <c r="XZ41" i="21"/>
  <c r="UG42" i="21"/>
  <c r="UG31" i="21"/>
  <c r="VL42" i="21"/>
  <c r="RX31" i="21"/>
  <c r="AZ42" i="21"/>
  <c r="AZ31" i="21"/>
  <c r="KY48" i="21"/>
  <c r="KY39" i="21"/>
  <c r="OX39" i="21"/>
  <c r="OX48" i="21" s="1"/>
  <c r="HO38" i="21"/>
  <c r="HO41" i="21"/>
  <c r="OS41" i="21"/>
  <c r="OS38" i="21"/>
  <c r="WD38" i="21"/>
  <c r="WD41" i="21"/>
  <c r="GY41" i="21"/>
  <c r="GY38" i="21"/>
  <c r="QK41" i="21"/>
  <c r="QK38" i="21"/>
  <c r="KA38" i="21"/>
  <c r="KA41" i="21"/>
  <c r="VV41" i="21"/>
  <c r="VV38" i="21"/>
  <c r="SK38" i="21"/>
  <c r="SK41" i="21"/>
  <c r="KR41" i="21"/>
  <c r="KR38" i="21"/>
  <c r="KH41" i="21"/>
  <c r="KH38" i="21"/>
  <c r="PY41" i="21"/>
  <c r="PY38" i="21"/>
  <c r="ZN17" i="21"/>
  <c r="ZX17" i="21"/>
  <c r="XL35" i="21"/>
  <c r="XL43" i="21" s="1"/>
  <c r="AAR41" i="21"/>
  <c r="AAR38" i="21"/>
  <c r="UF42" i="21"/>
  <c r="UF31" i="21"/>
  <c r="QC38" i="21"/>
  <c r="NY42" i="21"/>
  <c r="NY31" i="21"/>
  <c r="NX13" i="21"/>
  <c r="LQ38" i="21"/>
  <c r="LQ41" i="21"/>
  <c r="HF41" i="21"/>
  <c r="HF38" i="21"/>
  <c r="SF41" i="21"/>
  <c r="SF38" i="21"/>
  <c r="MV41" i="21"/>
  <c r="MV38" i="21"/>
  <c r="IL41" i="21"/>
  <c r="IL38" i="21"/>
  <c r="CR38" i="21"/>
  <c r="CR41" i="21"/>
  <c r="XN41" i="21"/>
  <c r="XN38" i="21"/>
  <c r="TQ41" i="21"/>
  <c r="TQ38" i="21"/>
  <c r="QZ42" i="21"/>
  <c r="QZ31" i="21"/>
  <c r="DB41" i="21"/>
  <c r="DB38" i="21"/>
  <c r="SL41" i="21"/>
  <c r="SL38" i="21"/>
  <c r="BB41" i="21"/>
  <c r="BB38" i="21"/>
  <c r="ZO38" i="21"/>
  <c r="ZO41" i="21"/>
  <c r="US41" i="21"/>
  <c r="US38" i="21"/>
  <c r="PX42" i="21"/>
  <c r="PX31" i="21"/>
  <c r="NT41" i="21"/>
  <c r="NT38" i="21"/>
  <c r="GZ41" i="21"/>
  <c r="GZ38" i="21"/>
  <c r="DX38" i="21"/>
  <c r="DX41" i="21"/>
  <c r="BD42" i="21"/>
  <c r="BD31" i="21"/>
  <c r="FI41" i="21"/>
  <c r="FI38" i="21"/>
  <c r="SA41" i="21"/>
  <c r="SA38" i="21"/>
  <c r="PT38" i="21"/>
  <c r="PT41" i="21"/>
  <c r="NS38" i="21"/>
  <c r="NS41" i="21"/>
  <c r="LW38" i="21"/>
  <c r="LW41" i="21"/>
  <c r="JO38" i="21"/>
  <c r="JO41" i="21"/>
  <c r="GC38" i="21"/>
  <c r="GC41" i="21"/>
  <c r="DM41" i="21"/>
  <c r="DM38" i="21"/>
  <c r="TM41" i="21"/>
  <c r="TM38" i="21"/>
  <c r="GB41" i="21"/>
  <c r="GB38" i="21"/>
  <c r="RY41" i="21"/>
  <c r="RY38" i="21"/>
  <c r="QI38" i="21"/>
  <c r="QI41" i="21"/>
  <c r="OK41" i="21"/>
  <c r="OK38" i="21"/>
  <c r="LS41" i="21"/>
  <c r="LS38" i="21"/>
  <c r="GW38" i="21"/>
  <c r="GW41" i="21"/>
  <c r="BJ38" i="21"/>
  <c r="BJ41" i="21"/>
  <c r="ZS41" i="21"/>
  <c r="ZS38" i="21"/>
  <c r="PI42" i="21"/>
  <c r="JL42" i="21"/>
  <c r="JL31" i="21"/>
  <c r="CJ38" i="21"/>
  <c r="CJ41" i="21"/>
  <c r="TE41" i="21"/>
  <c r="TE38" i="21"/>
  <c r="NZ31" i="21"/>
  <c r="HR41" i="21"/>
  <c r="BI38" i="21"/>
  <c r="BI41" i="21"/>
  <c r="ZH31" i="21"/>
  <c r="UL41" i="21"/>
  <c r="UL38" i="21"/>
  <c r="OE41" i="21"/>
  <c r="OE38" i="21"/>
  <c r="FK38" i="21"/>
  <c r="FK41" i="21"/>
  <c r="UI41" i="21"/>
  <c r="UI38" i="21"/>
  <c r="JN41" i="21"/>
  <c r="JN38" i="21"/>
  <c r="JR42" i="21"/>
  <c r="BA31" i="21"/>
  <c r="KP42" i="21"/>
  <c r="KP31" i="21"/>
  <c r="QE39" i="21"/>
  <c r="ZX27" i="21"/>
  <c r="ZN27" i="21"/>
  <c r="ZL27" i="21" s="1"/>
  <c r="XB41" i="21"/>
  <c r="XB38" i="21"/>
  <c r="EC41" i="21"/>
  <c r="EC38" i="21"/>
  <c r="NC38" i="21"/>
  <c r="NC41" i="21"/>
  <c r="BX42" i="21"/>
  <c r="BX31" i="21"/>
  <c r="SM38" i="21"/>
  <c r="SM41" i="21"/>
  <c r="HY38" i="21"/>
  <c r="HY41" i="21"/>
  <c r="IR41" i="21"/>
  <c r="IR38" i="21"/>
  <c r="IR39" i="21" s="1"/>
  <c r="OV41" i="21"/>
  <c r="OV38" i="21"/>
  <c r="XQ38" i="21"/>
  <c r="XQ41" i="21"/>
  <c r="EE41" i="21"/>
  <c r="EE38" i="21"/>
  <c r="OU41" i="21"/>
  <c r="OU38" i="21"/>
  <c r="WB41" i="21"/>
  <c r="WB38" i="21"/>
  <c r="YP39" i="21"/>
  <c r="FF39" i="21"/>
  <c r="FF48" i="21" s="1"/>
  <c r="YL39" i="21"/>
  <c r="YL48" i="21" s="1"/>
  <c r="HI16" i="21"/>
  <c r="HI42" i="21" s="1"/>
  <c r="DR27" i="21"/>
  <c r="DP27" i="21" s="1"/>
  <c r="DR15" i="21"/>
  <c r="DP15" i="21" s="1"/>
  <c r="ZX26" i="21"/>
  <c r="ZN26" i="21"/>
  <c r="ZL26" i="21" s="1"/>
  <c r="HH25" i="21"/>
  <c r="HH31" i="21" s="1"/>
  <c r="YG41" i="21"/>
  <c r="YG38" i="21"/>
  <c r="WF42" i="21"/>
  <c r="WF31" i="21"/>
  <c r="TR38" i="21"/>
  <c r="TR41" i="21"/>
  <c r="RW38" i="21"/>
  <c r="RW41" i="21"/>
  <c r="NH41" i="21"/>
  <c r="NH38" i="21"/>
  <c r="JI41" i="21"/>
  <c r="JI38" i="21"/>
  <c r="EP38" i="21"/>
  <c r="EP41" i="21"/>
  <c r="CS38" i="21"/>
  <c r="CS41" i="21"/>
  <c r="ZI38" i="21"/>
  <c r="ZI41" i="21"/>
  <c r="PZ41" i="21"/>
  <c r="PZ38" i="21"/>
  <c r="LZ41" i="21"/>
  <c r="LZ38" i="21"/>
  <c r="HE38" i="21"/>
  <c r="HE41" i="21"/>
  <c r="QO31" i="21"/>
  <c r="JS38" i="21"/>
  <c r="JS41" i="21"/>
  <c r="BZ38" i="21"/>
  <c r="BZ41" i="21"/>
  <c r="LA38" i="21"/>
  <c r="LA41" i="21"/>
  <c r="CQ38" i="21"/>
  <c r="CQ41" i="21"/>
  <c r="MG41" i="21"/>
  <c r="MG38" i="21"/>
  <c r="BL41" i="21"/>
  <c r="BL38" i="21"/>
  <c r="WM38" i="21"/>
  <c r="WM41" i="21"/>
  <c r="SN41" i="21"/>
  <c r="SN38" i="21"/>
  <c r="PM41" i="21"/>
  <c r="PM38" i="21"/>
  <c r="KL41" i="21"/>
  <c r="KL38" i="21"/>
  <c r="AS38" i="21"/>
  <c r="AS41" i="21"/>
  <c r="AR38" i="21"/>
  <c r="AR41" i="21"/>
  <c r="UQ38" i="21"/>
  <c r="UQ41" i="21"/>
  <c r="CX41" i="21"/>
  <c r="CX38" i="21"/>
  <c r="XU42" i="21"/>
  <c r="XU31" i="21"/>
  <c r="UB42" i="21"/>
  <c r="UB31" i="21"/>
  <c r="XR41" i="21"/>
  <c r="XR38" i="21"/>
  <c r="JM41" i="21"/>
  <c r="JM38" i="21"/>
  <c r="DU41" i="21"/>
  <c r="DU38" i="21"/>
  <c r="VT41" i="21"/>
  <c r="VT38" i="21"/>
  <c r="SU38" i="21"/>
  <c r="SU41" i="21"/>
  <c r="NI41" i="21"/>
  <c r="NI38" i="21"/>
  <c r="YE41" i="21"/>
  <c r="YE38" i="21"/>
  <c r="QW41" i="21"/>
  <c r="QW38" i="21"/>
  <c r="KM41" i="21"/>
  <c r="KM38" i="21"/>
  <c r="BV41" i="21"/>
  <c r="BV38" i="21"/>
  <c r="XC38" i="21"/>
  <c r="XC41" i="21"/>
  <c r="ZH42" i="21"/>
  <c r="BP13" i="21"/>
  <c r="RS31" i="21"/>
  <c r="BA42" i="21"/>
  <c r="ZJ42" i="21"/>
  <c r="ZJ31" i="21"/>
  <c r="OG41" i="21"/>
  <c r="OG38" i="21"/>
  <c r="FO42" i="21"/>
  <c r="FO31" i="21"/>
  <c r="FN13" i="21"/>
  <c r="RV41" i="21"/>
  <c r="RV38" i="21"/>
  <c r="S41" i="21"/>
  <c r="S38" i="21"/>
  <c r="BN41" i="21"/>
  <c r="BN38" i="21"/>
  <c r="MH41" i="21"/>
  <c r="MH38" i="21"/>
  <c r="QS41" i="21"/>
  <c r="QS38" i="21"/>
  <c r="E42" i="21"/>
  <c r="BS31" i="21"/>
  <c r="HM41" i="21"/>
  <c r="HM38" i="21"/>
  <c r="MR41" i="21"/>
  <c r="MR38" i="21"/>
  <c r="XX35" i="21"/>
  <c r="XX43" i="21" s="1"/>
  <c r="XO39" i="21"/>
  <c r="XO48" i="21" s="1"/>
  <c r="MC48" i="21"/>
  <c r="YO39" i="21"/>
  <c r="YO48" i="21" s="1"/>
  <c r="ZZ42" i="21"/>
  <c r="ZX14" i="21"/>
  <c r="ZN14" i="21"/>
  <c r="VR41" i="21"/>
  <c r="VR38" i="21"/>
  <c r="PP42" i="21"/>
  <c r="PP31" i="21"/>
  <c r="LE38" i="21"/>
  <c r="LE41" i="21"/>
  <c r="GI41" i="21"/>
  <c r="GI38" i="21"/>
  <c r="RL42" i="21"/>
  <c r="RL31" i="21"/>
  <c r="HN41" i="21"/>
  <c r="HN38" i="21"/>
  <c r="BQ42" i="21"/>
  <c r="BQ31" i="21"/>
  <c r="XA38" i="21"/>
  <c r="XA41" i="21"/>
  <c r="TC38" i="21"/>
  <c r="TC41" i="21"/>
  <c r="CB41" i="21"/>
  <c r="QO42" i="21"/>
  <c r="QJ41" i="21"/>
  <c r="QJ38" i="21"/>
  <c r="TP41" i="21"/>
  <c r="TP38" i="21"/>
  <c r="ZG42" i="21"/>
  <c r="ZG31" i="21"/>
  <c r="ZF13" i="21"/>
  <c r="UK38" i="21"/>
  <c r="UK41" i="21"/>
  <c r="NE41" i="21"/>
  <c r="NE38" i="21"/>
  <c r="FJ41" i="21"/>
  <c r="FJ38" i="21"/>
  <c r="CZ38" i="21"/>
  <c r="CZ41" i="21"/>
  <c r="DW41" i="21"/>
  <c r="DW38" i="21"/>
  <c r="ZW41" i="21"/>
  <c r="ZW38" i="21"/>
  <c r="XH41" i="21"/>
  <c r="XH38" i="21"/>
  <c r="TN41" i="21"/>
  <c r="TN38" i="21"/>
  <c r="RG38" i="21"/>
  <c r="RG41" i="21"/>
  <c r="PA41" i="21"/>
  <c r="PA38" i="21"/>
  <c r="ND41" i="21"/>
  <c r="ND38" i="21"/>
  <c r="KU41" i="21"/>
  <c r="KU38" i="21"/>
  <c r="IS38" i="21"/>
  <c r="IS41" i="21"/>
  <c r="FS41" i="21"/>
  <c r="FS38" i="21"/>
  <c r="CN41" i="21"/>
  <c r="CN38" i="21"/>
  <c r="AAS41" i="21"/>
  <c r="AAS38" i="21"/>
  <c r="AAO39" i="21" s="1"/>
  <c r="AAO47" i="21" s="1"/>
  <c r="OL41" i="21"/>
  <c r="OL38" i="21"/>
  <c r="DV41" i="21"/>
  <c r="DV38" i="21"/>
  <c r="YZ20" i="21"/>
  <c r="ZZ20" i="21"/>
  <c r="UP41" i="21"/>
  <c r="UP38" i="21"/>
  <c r="RO41" i="21"/>
  <c r="RO38" i="21"/>
  <c r="PR41" i="21"/>
  <c r="PR38" i="21"/>
  <c r="LK42" i="21"/>
  <c r="LK31" i="21"/>
  <c r="LJ13" i="21"/>
  <c r="GA41" i="21"/>
  <c r="GA38" i="21"/>
  <c r="Z38" i="21"/>
  <c r="Z41" i="21"/>
  <c r="YX41" i="21"/>
  <c r="YX38" i="21"/>
  <c r="V41" i="21"/>
  <c r="RB41" i="21"/>
  <c r="RB38" i="21"/>
  <c r="MX41" i="21"/>
  <c r="MX38" i="21"/>
  <c r="FP31" i="21"/>
  <c r="SR31" i="21"/>
  <c r="MM31" i="21"/>
  <c r="DA38" i="21"/>
  <c r="DA41" i="21"/>
  <c r="FR41" i="21"/>
  <c r="FR38" i="21"/>
  <c r="HK31" i="21"/>
  <c r="RS42" i="21"/>
  <c r="TG39" i="21"/>
  <c r="TG48" i="21" s="1"/>
  <c r="AAE42" i="21"/>
  <c r="AAE31" i="21"/>
  <c r="YS42" i="21"/>
  <c r="YS31" i="21"/>
  <c r="KX48" i="21"/>
  <c r="RJ48" i="21"/>
  <c r="O39" i="21"/>
  <c r="E35" i="21"/>
  <c r="KV39" i="21"/>
  <c r="DF39" i="21"/>
  <c r="DF48" i="21" s="1"/>
  <c r="E53" i="21"/>
  <c r="AAN39" i="21"/>
  <c r="AAN47" i="21" s="1"/>
  <c r="HC39" i="21"/>
  <c r="HC48" i="21" s="1"/>
  <c r="YS35" i="21"/>
  <c r="YS43" i="21" s="1"/>
  <c r="YI33" i="21"/>
  <c r="WS33" i="21" s="1"/>
  <c r="TF39" i="21"/>
  <c r="TF48" i="21" s="1"/>
  <c r="ZX29" i="21"/>
  <c r="ZN29" i="21"/>
  <c r="ZL29" i="21" s="1"/>
  <c r="ZX16" i="21"/>
  <c r="ZN16" i="21"/>
  <c r="ZL16" i="21" s="1"/>
  <c r="ZB31" i="21"/>
  <c r="AAJ41" i="21"/>
  <c r="AAJ38" i="21"/>
  <c r="AAF39" i="21" s="1"/>
  <c r="AAF47" i="21" s="1"/>
  <c r="XY41" i="21"/>
  <c r="XY38" i="21"/>
  <c r="TD41" i="21"/>
  <c r="TD38" i="21"/>
  <c r="RM41" i="21"/>
  <c r="RM38" i="21"/>
  <c r="MW41" i="21"/>
  <c r="MW38" i="21"/>
  <c r="IM41" i="21"/>
  <c r="IM38" i="21"/>
  <c r="ED41" i="21"/>
  <c r="ED38" i="21"/>
  <c r="CH41" i="21"/>
  <c r="CH38" i="21"/>
  <c r="QP42" i="21"/>
  <c r="QP31" i="21"/>
  <c r="BF41" i="21"/>
  <c r="BF38" i="21"/>
  <c r="YV41" i="21"/>
  <c r="YV38" i="21"/>
  <c r="PD41" i="21"/>
  <c r="PD38" i="21"/>
  <c r="LP42" i="21"/>
  <c r="LP31" i="21"/>
  <c r="FV38" i="21"/>
  <c r="FV41" i="21"/>
  <c r="IA38" i="21"/>
  <c r="IA41" i="21"/>
  <c r="YU41" i="21"/>
  <c r="YU38" i="21"/>
  <c r="RI41" i="21"/>
  <c r="RI38" i="21"/>
  <c r="IK38" i="21"/>
  <c r="IK41" i="21"/>
  <c r="SY41" i="21"/>
  <c r="SY38" i="21"/>
  <c r="JZ41" i="21"/>
  <c r="JZ38" i="21"/>
  <c r="YD41" i="21"/>
  <c r="YD38" i="21"/>
  <c r="VZ38" i="21"/>
  <c r="VZ41" i="21"/>
  <c r="RT42" i="21"/>
  <c r="RT31" i="21"/>
  <c r="PB41" i="21"/>
  <c r="PB38" i="21"/>
  <c r="AJ42" i="21"/>
  <c r="AJ31" i="21"/>
  <c r="ZV41" i="21"/>
  <c r="ZV38" i="21"/>
  <c r="RZ41" i="21"/>
  <c r="RZ38" i="21"/>
  <c r="KT41" i="21"/>
  <c r="KT38" i="21"/>
  <c r="KT39" i="21" s="1"/>
  <c r="AD41" i="21"/>
  <c r="ZT41" i="21"/>
  <c r="ZT38" i="21"/>
  <c r="WT42" i="21"/>
  <c r="WT31" i="21"/>
  <c r="KS41" i="21"/>
  <c r="KS38" i="21"/>
  <c r="KS39" i="21" s="1"/>
  <c r="IQ38" i="21"/>
  <c r="IQ39" i="21" s="1"/>
  <c r="E429" i="11" s="1"/>
  <c r="IQ41" i="21"/>
  <c r="DK41" i="21"/>
  <c r="DK38" i="21"/>
  <c r="RN41" i="21"/>
  <c r="RN38" i="21"/>
  <c r="MP42" i="21"/>
  <c r="MP31" i="21"/>
  <c r="HH42" i="21"/>
  <c r="WN41" i="21"/>
  <c r="WN38" i="21"/>
  <c r="PC41" i="21"/>
  <c r="PC38" i="21"/>
  <c r="JG41" i="21"/>
  <c r="JG38" i="21"/>
  <c r="BE41" i="21"/>
  <c r="BE38" i="21"/>
  <c r="BT41" i="21"/>
  <c r="BT38" i="21"/>
  <c r="AAK41" i="21"/>
  <c r="AAK38" i="21"/>
  <c r="AAG39" i="21" s="1"/>
  <c r="AAG47" i="21" s="1"/>
  <c r="WG38" i="21"/>
  <c r="WG41" i="21"/>
  <c r="CV31" i="21"/>
  <c r="DP13" i="21"/>
  <c r="ZX28" i="21" l="1"/>
  <c r="NJ42" i="21"/>
  <c r="NQ39" i="21"/>
  <c r="NQ48" i="21" s="1"/>
  <c r="TD39" i="21"/>
  <c r="TC39" i="21"/>
  <c r="OH38" i="21"/>
  <c r="AAD38" i="21"/>
  <c r="HT39" i="21"/>
  <c r="OA22" i="21"/>
  <c r="OA31" i="21" s="1"/>
  <c r="OA38" i="21" s="1"/>
  <c r="OB31" i="21"/>
  <c r="IG41" i="21"/>
  <c r="XW38" i="21"/>
  <c r="WS21" i="21"/>
  <c r="E54" i="21"/>
  <c r="E432" i="11"/>
  <c r="B21" i="15"/>
  <c r="XN39" i="21"/>
  <c r="F432" i="11"/>
  <c r="C21" i="15"/>
  <c r="JU39" i="21"/>
  <c r="HI31" i="21"/>
  <c r="HI38" i="21" s="1"/>
  <c r="PJ41" i="21"/>
  <c r="HR38" i="21"/>
  <c r="YN41" i="21"/>
  <c r="DJ41" i="21"/>
  <c r="ZN19" i="21"/>
  <c r="ZL19" i="21" s="1"/>
  <c r="PH42" i="21"/>
  <c r="XE48" i="21"/>
  <c r="SD41" i="21"/>
  <c r="QH41" i="21"/>
  <c r="NJ31" i="21"/>
  <c r="NP41" i="21"/>
  <c r="NP38" i="21"/>
  <c r="NP39" i="21" s="1"/>
  <c r="NP48" i="21" s="1"/>
  <c r="WS35" i="21"/>
  <c r="LV38" i="21"/>
  <c r="PL38" i="21"/>
  <c r="ML42" i="21"/>
  <c r="EN38" i="21"/>
  <c r="KJ41" i="21"/>
  <c r="IF41" i="21"/>
  <c r="VL38" i="21"/>
  <c r="PK41" i="21"/>
  <c r="AP38" i="21"/>
  <c r="CP41" i="21"/>
  <c r="VL41" i="21"/>
  <c r="NB41" i="21"/>
  <c r="GV41" i="21"/>
  <c r="XF41" i="21"/>
  <c r="E69" i="11"/>
  <c r="B32" i="15"/>
  <c r="ZK41" i="21"/>
  <c r="FH41" i="21"/>
  <c r="SX38" i="21"/>
  <c r="QT41" i="21"/>
  <c r="MT41" i="21"/>
  <c r="JR38" i="21"/>
  <c r="OR41" i="21"/>
  <c r="EB41" i="21"/>
  <c r="KF41" i="21"/>
  <c r="IJ41" i="21"/>
  <c r="RF41" i="21"/>
  <c r="CZ39" i="21"/>
  <c r="GV38" i="21"/>
  <c r="IF38" i="21"/>
  <c r="EH41" i="21"/>
  <c r="UE41" i="21"/>
  <c r="BT39" i="21"/>
  <c r="IP41" i="21"/>
  <c r="KE41" i="21"/>
  <c r="KZ41" i="21"/>
  <c r="KD31" i="21"/>
  <c r="KD42" i="21"/>
  <c r="EV38" i="21"/>
  <c r="PH31" i="21"/>
  <c r="ML31" i="21"/>
  <c r="EB38" i="21"/>
  <c r="AV41" i="21"/>
  <c r="KF38" i="21"/>
  <c r="TA39" i="21"/>
  <c r="GF41" i="21"/>
  <c r="OZ41" i="21"/>
  <c r="UE38" i="21"/>
  <c r="JR41" i="21"/>
  <c r="AP41" i="21"/>
  <c r="ZZ31" i="21"/>
  <c r="ZZ38" i="21" s="1"/>
  <c r="CP38" i="21"/>
  <c r="HJ41" i="21"/>
  <c r="FT41" i="21"/>
  <c r="SD38" i="21"/>
  <c r="QN31" i="21"/>
  <c r="QN38" i="21" s="1"/>
  <c r="QN42" i="21"/>
  <c r="MN41" i="21"/>
  <c r="EV41" i="21"/>
  <c r="EH38" i="21"/>
  <c r="IJ38" i="21"/>
  <c r="KJ38" i="21"/>
  <c r="YN38" i="21"/>
  <c r="RR42" i="21"/>
  <c r="YD39" i="21"/>
  <c r="SJ41" i="21"/>
  <c r="KR39" i="21"/>
  <c r="OZ38" i="21"/>
  <c r="JS39" i="21"/>
  <c r="XF38" i="21"/>
  <c r="QH38" i="21"/>
  <c r="FZ41" i="21"/>
  <c r="WR35" i="21"/>
  <c r="WR43" i="21" s="1"/>
  <c r="FZ38" i="21"/>
  <c r="GF38" i="21"/>
  <c r="RR31" i="21"/>
  <c r="RR38" i="21" s="1"/>
  <c r="WS22" i="21"/>
  <c r="WS20" i="21"/>
  <c r="WR31" i="21"/>
  <c r="JX41" i="21"/>
  <c r="HX41" i="21"/>
  <c r="SX41" i="21"/>
  <c r="NR41" i="21"/>
  <c r="WS42" i="21"/>
  <c r="DT41" i="21"/>
  <c r="NI39" i="21"/>
  <c r="LV41" i="21"/>
  <c r="RF38" i="21"/>
  <c r="TL41" i="21"/>
  <c r="SY39" i="21"/>
  <c r="XM39" i="21"/>
  <c r="PK38" i="21"/>
  <c r="YI31" i="21"/>
  <c r="FH38" i="21"/>
  <c r="MT38" i="21"/>
  <c r="EN41" i="21"/>
  <c r="YI42" i="21"/>
  <c r="YT41" i="21"/>
  <c r="XL38" i="21"/>
  <c r="SJ38" i="21"/>
  <c r="OR38" i="21"/>
  <c r="HS39" i="21"/>
  <c r="SZ39" i="21"/>
  <c r="LW39" i="21"/>
  <c r="YZ31" i="21"/>
  <c r="YZ41" i="21" s="1"/>
  <c r="YE39" i="21"/>
  <c r="OT39" i="21"/>
  <c r="FT38" i="21"/>
  <c r="YI35" i="21"/>
  <c r="YI43" i="21" s="1"/>
  <c r="NB38" i="21"/>
  <c r="NH39" i="21"/>
  <c r="HX38" i="21"/>
  <c r="QT38" i="21"/>
  <c r="AV38" i="21"/>
  <c r="LY39" i="21"/>
  <c r="OS39" i="21"/>
  <c r="LX39" i="21"/>
  <c r="F39" i="21"/>
  <c r="YH39" i="21"/>
  <c r="JX38" i="21"/>
  <c r="JT39" i="21"/>
  <c r="DQ38" i="21"/>
  <c r="DQ41" i="21"/>
  <c r="ZB41" i="21"/>
  <c r="ZB38" i="21"/>
  <c r="OU39" i="21"/>
  <c r="BA38" i="21"/>
  <c r="BA41" i="21"/>
  <c r="WR42" i="21"/>
  <c r="AZ38" i="21"/>
  <c r="AZ41" i="21"/>
  <c r="WL41" i="21"/>
  <c r="WL38" i="21"/>
  <c r="UD41" i="21"/>
  <c r="UD38" i="21"/>
  <c r="KG38" i="21"/>
  <c r="KG41" i="21"/>
  <c r="XV42" i="21"/>
  <c r="XV31" i="21"/>
  <c r="E50" i="21"/>
  <c r="E43" i="21"/>
  <c r="ZL14" i="21"/>
  <c r="ZL42" i="21" s="1"/>
  <c r="ZN42" i="21"/>
  <c r="NZ41" i="21"/>
  <c r="NZ38" i="21"/>
  <c r="NX42" i="21"/>
  <c r="NX31" i="21"/>
  <c r="PI41" i="21"/>
  <c r="PI38" i="21"/>
  <c r="OD41" i="21"/>
  <c r="OD38" i="21"/>
  <c r="TZ42" i="21"/>
  <c r="TZ31" i="21"/>
  <c r="FC39" i="21"/>
  <c r="E51" i="21"/>
  <c r="E41" i="21"/>
  <c r="E38" i="21"/>
  <c r="E39" i="21" s="1"/>
  <c r="MO41" i="21"/>
  <c r="MO38" i="21"/>
  <c r="XT13" i="21"/>
  <c r="ZX22" i="21"/>
  <c r="ZN22" i="21"/>
  <c r="ZL22" i="21" s="1"/>
  <c r="JF41" i="21"/>
  <c r="JF38" i="21"/>
  <c r="RT41" i="21"/>
  <c r="RT38" i="21"/>
  <c r="AJ38" i="21"/>
  <c r="AJ41" i="21"/>
  <c r="ZJ41" i="21"/>
  <c r="ZJ38" i="21"/>
  <c r="RX41" i="21"/>
  <c r="RX38" i="21"/>
  <c r="XP41" i="21"/>
  <c r="XP38" i="21"/>
  <c r="WR52" i="21" s="1"/>
  <c r="UN41" i="21"/>
  <c r="UN38" i="21"/>
  <c r="OJ41" i="21"/>
  <c r="OJ38" i="21"/>
  <c r="WZ41" i="21"/>
  <c r="WZ38" i="21"/>
  <c r="UC41" i="21"/>
  <c r="UC38" i="21"/>
  <c r="WF41" i="21"/>
  <c r="WF38" i="21"/>
  <c r="FB41" i="21"/>
  <c r="FB38" i="21"/>
  <c r="HH41" i="21"/>
  <c r="HH38" i="21"/>
  <c r="LP41" i="21"/>
  <c r="LP38" i="21"/>
  <c r="QP41" i="21"/>
  <c r="QP38" i="21"/>
  <c r="HK41" i="21"/>
  <c r="HK38" i="21"/>
  <c r="SR41" i="21"/>
  <c r="SR38" i="21"/>
  <c r="LJ42" i="21"/>
  <c r="LJ31" i="21"/>
  <c r="RG39" i="21"/>
  <c r="ZH41" i="21"/>
  <c r="ZH38" i="21"/>
  <c r="ZL17" i="21"/>
  <c r="GY39" i="21"/>
  <c r="CL41" i="21"/>
  <c r="CL38" i="21"/>
  <c r="YA39" i="21"/>
  <c r="MD41" i="21"/>
  <c r="MD38" i="21"/>
  <c r="BR41" i="21"/>
  <c r="BR38" i="21"/>
  <c r="ZR41" i="21"/>
  <c r="ZR38" i="21"/>
  <c r="FD39" i="21"/>
  <c r="FQ41" i="21"/>
  <c r="FQ38" i="21"/>
  <c r="KQ39" i="21"/>
  <c r="ZX42" i="21"/>
  <c r="QO38" i="21"/>
  <c r="QO41" i="21"/>
  <c r="J38" i="21"/>
  <c r="J41" i="21"/>
  <c r="MM38" i="21"/>
  <c r="MM41" i="21"/>
  <c r="LK41" i="21"/>
  <c r="LK38" i="21"/>
  <c r="ZF42" i="21"/>
  <c r="ZF31" i="21"/>
  <c r="RL41" i="21"/>
  <c r="RL38" i="21"/>
  <c r="PP41" i="21"/>
  <c r="PP38" i="21"/>
  <c r="FN42" i="21"/>
  <c r="FN31" i="21"/>
  <c r="RS41" i="21"/>
  <c r="RS38" i="21"/>
  <c r="KP41" i="21"/>
  <c r="KP38" i="21"/>
  <c r="QZ41" i="21"/>
  <c r="QZ38" i="21"/>
  <c r="UG41" i="21"/>
  <c r="UG38" i="21"/>
  <c r="TB39" i="21"/>
  <c r="YC39" i="21"/>
  <c r="HL41" i="21"/>
  <c r="HL38" i="21"/>
  <c r="DR31" i="21"/>
  <c r="XU38" i="21"/>
  <c r="XU41" i="21"/>
  <c r="NY38" i="21"/>
  <c r="NY41" i="21"/>
  <c r="CV41" i="21"/>
  <c r="CV38" i="21"/>
  <c r="ZG38" i="21"/>
  <c r="ZG41" i="21"/>
  <c r="FO38" i="21"/>
  <c r="FO41" i="21"/>
  <c r="BP42" i="21"/>
  <c r="BP31" i="21"/>
  <c r="UB41" i="21"/>
  <c r="UB38" i="21"/>
  <c r="BX41" i="21"/>
  <c r="BX38" i="21"/>
  <c r="BI39" i="21"/>
  <c r="JL41" i="21"/>
  <c r="JL38" i="21"/>
  <c r="BJ39" i="21"/>
  <c r="UF41" i="21"/>
  <c r="UF38" i="21"/>
  <c r="PY39" i="21"/>
  <c r="XX41" i="21"/>
  <c r="XX38" i="21"/>
  <c r="QQ38" i="21"/>
  <c r="QQ41" i="21"/>
  <c r="BH38" i="21"/>
  <c r="BH39" i="21" s="1"/>
  <c r="BH41" i="21"/>
  <c r="ID42" i="21"/>
  <c r="ID31" i="21"/>
  <c r="CY39" i="21"/>
  <c r="DR42" i="21"/>
  <c r="WT41" i="21"/>
  <c r="WT38" i="21"/>
  <c r="UA38" i="21"/>
  <c r="UA41" i="21"/>
  <c r="DP42" i="21"/>
  <c r="DP31" i="21"/>
  <c r="AAE38" i="21"/>
  <c r="AAE41" i="21"/>
  <c r="MP41" i="21"/>
  <c r="MP38" i="21"/>
  <c r="YS41" i="21"/>
  <c r="YS38" i="21"/>
  <c r="FP41" i="21"/>
  <c r="FP38" i="21"/>
  <c r="ZX20" i="21"/>
  <c r="ZN20" i="21"/>
  <c r="ZL20" i="21" s="1"/>
  <c r="BQ38" i="21"/>
  <c r="BQ41" i="21"/>
  <c r="BS41" i="21"/>
  <c r="BS38" i="21"/>
  <c r="PZ39" i="21"/>
  <c r="BD41" i="21"/>
  <c r="BD38" i="21"/>
  <c r="PX41" i="21"/>
  <c r="PX38" i="21"/>
  <c r="IE41" i="21"/>
  <c r="IE38" i="21"/>
  <c r="LL41" i="21"/>
  <c r="LL38" i="21"/>
  <c r="RH39" i="21"/>
  <c r="OA41" i="21" l="1"/>
  <c r="OB41" i="21"/>
  <c r="OB38" i="21"/>
  <c r="HI41" i="21"/>
  <c r="PH41" i="21"/>
  <c r="JR39" i="21"/>
  <c r="KD41" i="21"/>
  <c r="KD38" i="21"/>
  <c r="NJ41" i="21"/>
  <c r="NJ38" i="21"/>
  <c r="ML41" i="21"/>
  <c r="YI38" i="21"/>
  <c r="ZZ41" i="21"/>
  <c r="PH38" i="21"/>
  <c r="QN41" i="21"/>
  <c r="ML38" i="21"/>
  <c r="YN39" i="21"/>
  <c r="YN48" i="21" s="1"/>
  <c r="RR41" i="21"/>
  <c r="YI41" i="21"/>
  <c r="WR50" i="21"/>
  <c r="WR38" i="21"/>
  <c r="WS31" i="21"/>
  <c r="WS38" i="21" s="1"/>
  <c r="WS39" i="21" s="1"/>
  <c r="XL39" i="21"/>
  <c r="YZ38" i="21"/>
  <c r="WS52" i="21" s="1"/>
  <c r="ZX31" i="21"/>
  <c r="ZX41" i="21" s="1"/>
  <c r="DP38" i="21"/>
  <c r="DP41" i="21"/>
  <c r="ZF38" i="21"/>
  <c r="ZF41" i="21"/>
  <c r="E55" i="21"/>
  <c r="XV41" i="21"/>
  <c r="XV38" i="21"/>
  <c r="WR53" i="21" s="1"/>
  <c r="WR51" i="21"/>
  <c r="WR41" i="21"/>
  <c r="YS39" i="21"/>
  <c r="YS48" i="21" s="1"/>
  <c r="ID41" i="21"/>
  <c r="ID38" i="21"/>
  <c r="BP41" i="21"/>
  <c r="BP38" i="21"/>
  <c r="DR41" i="21"/>
  <c r="DR38" i="21"/>
  <c r="FN38" i="21"/>
  <c r="FN41" i="21"/>
  <c r="LJ41" i="21"/>
  <c r="LJ38" i="21"/>
  <c r="ZN31" i="21"/>
  <c r="NX41" i="21"/>
  <c r="NX38" i="21"/>
  <c r="TZ41" i="21"/>
  <c r="TZ38" i="21"/>
  <c r="ZL31" i="21"/>
  <c r="XT42" i="21"/>
  <c r="XT31" i="21"/>
  <c r="ZX38" i="21" l="1"/>
  <c r="WS53" i="21" s="1"/>
  <c r="WS50" i="21"/>
  <c r="WS43" i="21"/>
  <c r="WS51" i="21"/>
  <c r="WS41" i="21"/>
  <c r="XT41" i="21"/>
  <c r="XT38" i="21"/>
  <c r="WR54" i="21" s="1"/>
  <c r="WR55" i="21" s="1"/>
  <c r="ZL41" i="21"/>
  <c r="ZL38" i="21"/>
  <c r="WS54" i="21" s="1"/>
  <c r="ZN41" i="21"/>
  <c r="ZN38" i="21"/>
  <c r="WS55" i="21" l="1"/>
  <c r="BI37" i="20"/>
  <c r="BG37" i="20"/>
  <c r="BE37" i="20"/>
  <c r="BA37" i="20"/>
  <c r="AY37" i="20"/>
  <c r="AW37" i="20"/>
  <c r="AU37" i="20"/>
  <c r="AS37" i="20"/>
  <c r="AQ37" i="20"/>
  <c r="AO37" i="20"/>
  <c r="AM37" i="20"/>
  <c r="AK37" i="20"/>
  <c r="AI37" i="20"/>
  <c r="AG37" i="20"/>
  <c r="AE37" i="20"/>
  <c r="AC37" i="20"/>
  <c r="AA37" i="20"/>
  <c r="W37" i="20"/>
  <c r="S37" i="20"/>
  <c r="Q37" i="20"/>
  <c r="O37" i="20"/>
  <c r="M37" i="20"/>
  <c r="K37" i="20"/>
  <c r="I37" i="20"/>
  <c r="G37" i="20"/>
  <c r="E37" i="20"/>
  <c r="BI30" i="20"/>
  <c r="BI38" i="20" s="1"/>
  <c r="BG30" i="20"/>
  <c r="BG38" i="20" s="1"/>
  <c r="BE30" i="20"/>
  <c r="BE38" i="20" s="1"/>
  <c r="BC30" i="20"/>
  <c r="BC38" i="20" s="1"/>
  <c r="BA30" i="20"/>
  <c r="BA38" i="20" s="1"/>
  <c r="AY30" i="20"/>
  <c r="AY38" i="20" s="1"/>
  <c r="AW30" i="20"/>
  <c r="AW38" i="20" s="1"/>
  <c r="AU30" i="20"/>
  <c r="AU38" i="20" s="1"/>
  <c r="AS30" i="20"/>
  <c r="AS38" i="20" s="1"/>
  <c r="AQ30" i="20"/>
  <c r="AQ38" i="20" s="1"/>
  <c r="AO30" i="20"/>
  <c r="AO38" i="20" s="1"/>
  <c r="AM30" i="20"/>
  <c r="AM38" i="20" s="1"/>
  <c r="AK30" i="20"/>
  <c r="AK38" i="20" s="1"/>
  <c r="AI30" i="20"/>
  <c r="AI38" i="20" s="1"/>
  <c r="AG30" i="20"/>
  <c r="AG38" i="20" s="1"/>
  <c r="AE30" i="20"/>
  <c r="AE38" i="20" s="1"/>
  <c r="AC30" i="20"/>
  <c r="AC38" i="20" s="1"/>
  <c r="AA30" i="20"/>
  <c r="AA38" i="20" s="1"/>
  <c r="W30" i="20"/>
  <c r="W38" i="20" s="1"/>
  <c r="S30" i="20"/>
  <c r="S38" i="20" s="1"/>
  <c r="Q30" i="20"/>
  <c r="Q38" i="20" s="1"/>
  <c r="O30" i="20"/>
  <c r="O38" i="20" s="1"/>
  <c r="M30" i="20"/>
  <c r="M38" i="20" s="1"/>
  <c r="K30" i="20"/>
  <c r="K38" i="20" s="1"/>
  <c r="I30" i="20"/>
  <c r="I38" i="20" s="1"/>
  <c r="G30" i="20"/>
  <c r="G38" i="20" s="1"/>
  <c r="E30" i="20"/>
  <c r="E38" i="20" s="1"/>
  <c r="BH29" i="20"/>
  <c r="BF29" i="20"/>
  <c r="BD29" i="20"/>
  <c r="BB29" i="20"/>
  <c r="AZ29" i="20"/>
  <c r="AX29" i="20"/>
  <c r="AV29" i="20"/>
  <c r="AT29" i="20"/>
  <c r="AR29" i="20"/>
  <c r="AP29" i="20"/>
  <c r="AN29" i="20"/>
  <c r="AL29" i="20"/>
  <c r="AJ29" i="20"/>
  <c r="AH29" i="20"/>
  <c r="AF29" i="20"/>
  <c r="AD29" i="20"/>
  <c r="AB29" i="20"/>
  <c r="Z29" i="20"/>
  <c r="V29" i="20"/>
  <c r="T29" i="20"/>
  <c r="R29" i="20"/>
  <c r="P29" i="20"/>
  <c r="N29" i="20"/>
  <c r="L29" i="20"/>
  <c r="J29" i="20"/>
  <c r="H29" i="20"/>
  <c r="F29" i="20"/>
  <c r="D29" i="20"/>
  <c r="BH28" i="20"/>
  <c r="BF28" i="20"/>
  <c r="BD28" i="20"/>
  <c r="BB28" i="20"/>
  <c r="AZ28" i="20"/>
  <c r="AX28" i="20"/>
  <c r="AV28" i="20"/>
  <c r="AT28" i="20"/>
  <c r="AR28" i="20"/>
  <c r="AP28" i="20"/>
  <c r="AN28" i="20"/>
  <c r="AL28" i="20"/>
  <c r="AJ28" i="20"/>
  <c r="AH28" i="20"/>
  <c r="AF28" i="20"/>
  <c r="AD28" i="20"/>
  <c r="AB28" i="20"/>
  <c r="Z28" i="20"/>
  <c r="V28" i="20"/>
  <c r="T28" i="20"/>
  <c r="R28" i="20"/>
  <c r="P28" i="20"/>
  <c r="N28" i="20"/>
  <c r="L28" i="20"/>
  <c r="J28" i="20"/>
  <c r="H28" i="20"/>
  <c r="F28" i="20"/>
  <c r="D28" i="20"/>
  <c r="BI26" i="20"/>
  <c r="BG26" i="20"/>
  <c r="BA26" i="20"/>
  <c r="AY26" i="20"/>
  <c r="AW26" i="20"/>
  <c r="AU26" i="20"/>
  <c r="AQ26" i="20"/>
  <c r="AQ33" i="20" s="1"/>
  <c r="AO26" i="20"/>
  <c r="AM26" i="20"/>
  <c r="AK26" i="20"/>
  <c r="AI26" i="20"/>
  <c r="AG26" i="20"/>
  <c r="AE26" i="20"/>
  <c r="AC26" i="20"/>
  <c r="AC33" i="20" s="1"/>
  <c r="AC43" i="20" s="1"/>
  <c r="AC45" i="20" s="1"/>
  <c r="AA26" i="20"/>
  <c r="W26" i="20"/>
  <c r="S26" i="20"/>
  <c r="Q26" i="20"/>
  <c r="Q33" i="20" s="1"/>
  <c r="Q43" i="20" s="1"/>
  <c r="Q45" i="20" s="1"/>
  <c r="O26" i="20"/>
  <c r="M26" i="20"/>
  <c r="K26" i="20"/>
  <c r="I26" i="20"/>
  <c r="G26" i="20"/>
  <c r="G36" i="20" s="1"/>
  <c r="E26" i="20"/>
  <c r="BH25" i="20"/>
  <c r="BF25" i="20"/>
  <c r="BD25" i="20"/>
  <c r="BB25" i="20"/>
  <c r="AZ25" i="20"/>
  <c r="AX25" i="20"/>
  <c r="AV25" i="20"/>
  <c r="AT25" i="20"/>
  <c r="AR25" i="20"/>
  <c r="AP25" i="20"/>
  <c r="AN25" i="20"/>
  <c r="AL25" i="20"/>
  <c r="AJ25" i="20"/>
  <c r="AH25" i="20"/>
  <c r="AF25" i="20"/>
  <c r="AD25" i="20"/>
  <c r="AB25" i="20"/>
  <c r="Z25" i="20"/>
  <c r="V25" i="20"/>
  <c r="T25" i="20"/>
  <c r="R25" i="20"/>
  <c r="P25" i="20"/>
  <c r="N25" i="20"/>
  <c r="L25" i="20"/>
  <c r="J25" i="20"/>
  <c r="H25" i="20"/>
  <c r="F25" i="20"/>
  <c r="D25" i="20"/>
  <c r="BH24" i="20"/>
  <c r="BF24" i="20"/>
  <c r="BD24" i="20"/>
  <c r="BB24" i="20"/>
  <c r="AZ24" i="20"/>
  <c r="AX24" i="20"/>
  <c r="AV24" i="20"/>
  <c r="AT24" i="20"/>
  <c r="AR24" i="20"/>
  <c r="AP24" i="20"/>
  <c r="AN24" i="20"/>
  <c r="AL24" i="20"/>
  <c r="AJ24" i="20"/>
  <c r="AH24" i="20"/>
  <c r="AF24" i="20"/>
  <c r="AD24" i="20"/>
  <c r="AB24" i="20"/>
  <c r="Z24" i="20"/>
  <c r="V24" i="20"/>
  <c r="T24" i="20"/>
  <c r="R24" i="20"/>
  <c r="P24" i="20"/>
  <c r="N24" i="20"/>
  <c r="L24" i="20"/>
  <c r="J24" i="20"/>
  <c r="H24" i="20"/>
  <c r="F24" i="20"/>
  <c r="D24" i="20"/>
  <c r="BH23" i="20"/>
  <c r="BF23" i="20"/>
  <c r="BD23" i="20"/>
  <c r="BB23" i="20"/>
  <c r="AZ23" i="20"/>
  <c r="AX23" i="20"/>
  <c r="AV23" i="20"/>
  <c r="AT23" i="20"/>
  <c r="AR23" i="20"/>
  <c r="AP23" i="20"/>
  <c r="AN23" i="20"/>
  <c r="AL23" i="20"/>
  <c r="AJ23" i="20"/>
  <c r="AH23" i="20"/>
  <c r="AF23" i="20"/>
  <c r="AD23" i="20"/>
  <c r="AB23" i="20"/>
  <c r="Z23" i="20"/>
  <c r="V23" i="20"/>
  <c r="T23" i="20"/>
  <c r="R23" i="20"/>
  <c r="P23" i="20"/>
  <c r="N23" i="20"/>
  <c r="L23" i="20"/>
  <c r="J23" i="20"/>
  <c r="H23" i="20"/>
  <c r="F23" i="20"/>
  <c r="D23" i="20"/>
  <c r="BH22" i="20"/>
  <c r="BF22" i="20"/>
  <c r="BD22" i="20"/>
  <c r="BB22" i="20"/>
  <c r="AZ22" i="20"/>
  <c r="AX22" i="20"/>
  <c r="AV22" i="20"/>
  <c r="AT22" i="20"/>
  <c r="AR22" i="20"/>
  <c r="AP22" i="20"/>
  <c r="AN22" i="20"/>
  <c r="AL22" i="20"/>
  <c r="AJ22" i="20"/>
  <c r="AH22" i="20"/>
  <c r="AF22" i="20"/>
  <c r="AD22" i="20"/>
  <c r="AB22" i="20"/>
  <c r="Z22" i="20"/>
  <c r="V22" i="20"/>
  <c r="T22" i="20"/>
  <c r="R22" i="20"/>
  <c r="P22" i="20"/>
  <c r="N22" i="20"/>
  <c r="L22" i="20"/>
  <c r="J22" i="20"/>
  <c r="H22" i="20"/>
  <c r="F22" i="20"/>
  <c r="D22" i="20"/>
  <c r="BH11" i="20"/>
  <c r="BF11" i="20"/>
  <c r="BD11" i="20"/>
  <c r="AY11" i="19"/>
  <c r="BB11" i="20"/>
  <c r="AZ11" i="20"/>
  <c r="AX11" i="20"/>
  <c r="AV11" i="20"/>
  <c r="AT11" i="20"/>
  <c r="AR11" i="20"/>
  <c r="AP11" i="20"/>
  <c r="AN11" i="20"/>
  <c r="AL11" i="20"/>
  <c r="AJ11" i="20"/>
  <c r="AH11" i="20"/>
  <c r="AF11" i="20"/>
  <c r="AD11" i="20"/>
  <c r="AB11" i="20"/>
  <c r="Z11" i="20"/>
  <c r="V11" i="20"/>
  <c r="T11" i="20"/>
  <c r="R11" i="20"/>
  <c r="P11" i="20"/>
  <c r="N11" i="20"/>
  <c r="L11" i="20"/>
  <c r="J11" i="20"/>
  <c r="H11" i="20"/>
  <c r="F11" i="20"/>
  <c r="D11" i="20"/>
  <c r="BH21" i="20"/>
  <c r="BF21" i="20"/>
  <c r="BD21" i="20"/>
  <c r="BB21" i="20"/>
  <c r="AZ21" i="20"/>
  <c r="AX21" i="20"/>
  <c r="AV21" i="20"/>
  <c r="AT21" i="20"/>
  <c r="AR21" i="20"/>
  <c r="AP21" i="20"/>
  <c r="AN21" i="20"/>
  <c r="AL21" i="20"/>
  <c r="AJ21" i="20"/>
  <c r="AH21" i="20"/>
  <c r="AF21" i="20"/>
  <c r="AD21" i="20"/>
  <c r="AB21" i="20"/>
  <c r="Z21" i="20"/>
  <c r="V21" i="20"/>
  <c r="T21" i="20"/>
  <c r="R21" i="20"/>
  <c r="P21" i="20"/>
  <c r="N21" i="20"/>
  <c r="L21" i="20"/>
  <c r="J21" i="20"/>
  <c r="H21" i="20"/>
  <c r="F21" i="20"/>
  <c r="D21" i="20"/>
  <c r="BH20" i="20"/>
  <c r="BF20" i="20"/>
  <c r="BD20" i="20"/>
  <c r="BB20" i="20"/>
  <c r="AZ20" i="20"/>
  <c r="AX20" i="20"/>
  <c r="AV20" i="20"/>
  <c r="AT20" i="20"/>
  <c r="AR20" i="20"/>
  <c r="AP20" i="20"/>
  <c r="AN20" i="20"/>
  <c r="AL20" i="20"/>
  <c r="AJ20" i="20"/>
  <c r="AH20" i="20"/>
  <c r="AF20" i="20"/>
  <c r="AD20" i="20"/>
  <c r="AB20" i="20"/>
  <c r="Z20" i="20"/>
  <c r="V20" i="20"/>
  <c r="T20" i="20"/>
  <c r="R20" i="20"/>
  <c r="P20" i="20"/>
  <c r="N20" i="20"/>
  <c r="L20" i="20"/>
  <c r="J20" i="20"/>
  <c r="H20" i="20"/>
  <c r="F20" i="20"/>
  <c r="D20" i="20"/>
  <c r="BH19" i="20"/>
  <c r="BF19" i="20"/>
  <c r="BD19" i="20"/>
  <c r="BB19" i="20"/>
  <c r="AZ19" i="20"/>
  <c r="AX19" i="20"/>
  <c r="AV19" i="20"/>
  <c r="AT19" i="20"/>
  <c r="AR19" i="20"/>
  <c r="AP19" i="20"/>
  <c r="AN19" i="20"/>
  <c r="AL19" i="20"/>
  <c r="AJ19" i="20"/>
  <c r="AH19" i="20"/>
  <c r="AF19" i="20"/>
  <c r="AD19" i="20"/>
  <c r="AB19" i="20"/>
  <c r="Z19" i="20"/>
  <c r="V19" i="20"/>
  <c r="T19" i="20"/>
  <c r="R19" i="20"/>
  <c r="P19" i="20"/>
  <c r="N19" i="20"/>
  <c r="L19" i="20"/>
  <c r="J19" i="20"/>
  <c r="H19" i="20"/>
  <c r="F19" i="20"/>
  <c r="D19" i="20"/>
  <c r="BH18" i="20"/>
  <c r="BF18" i="20"/>
  <c r="BD18" i="20"/>
  <c r="BB18" i="20"/>
  <c r="AZ18" i="20"/>
  <c r="AX18" i="20"/>
  <c r="AV18" i="20"/>
  <c r="AT18" i="20"/>
  <c r="AR18" i="20"/>
  <c r="AP18" i="20"/>
  <c r="AN18" i="20"/>
  <c r="AL18" i="20"/>
  <c r="AJ18" i="20"/>
  <c r="AH18" i="20"/>
  <c r="AF18" i="20"/>
  <c r="AD18" i="20"/>
  <c r="AB18" i="20"/>
  <c r="Z18" i="20"/>
  <c r="V18" i="20"/>
  <c r="T18" i="20"/>
  <c r="R18" i="20"/>
  <c r="P18" i="20"/>
  <c r="N18" i="20"/>
  <c r="L18" i="20"/>
  <c r="J18" i="20"/>
  <c r="H18" i="20"/>
  <c r="F18" i="20"/>
  <c r="D18" i="20"/>
  <c r="BH10" i="20"/>
  <c r="BF10" i="20"/>
  <c r="BD10" i="20"/>
  <c r="AY10" i="19"/>
  <c r="BB10" i="20"/>
  <c r="AZ10" i="20"/>
  <c r="AX10" i="20"/>
  <c r="AV10" i="20"/>
  <c r="AT10" i="20"/>
  <c r="AR10" i="20"/>
  <c r="AP10" i="20"/>
  <c r="AN10" i="20"/>
  <c r="AL10" i="20"/>
  <c r="AJ10" i="20"/>
  <c r="AH10" i="20"/>
  <c r="AF10" i="20"/>
  <c r="AD10" i="20"/>
  <c r="AB10" i="20"/>
  <c r="Z10" i="20"/>
  <c r="V10" i="20"/>
  <c r="T10" i="20"/>
  <c r="R10" i="20"/>
  <c r="P10" i="20"/>
  <c r="N10" i="20"/>
  <c r="L10" i="20"/>
  <c r="J10" i="20"/>
  <c r="H10" i="20"/>
  <c r="F10" i="20"/>
  <c r="D10" i="20"/>
  <c r="BH17" i="20"/>
  <c r="BF17" i="20"/>
  <c r="BD17" i="20"/>
  <c r="BB17" i="20"/>
  <c r="AZ17" i="20"/>
  <c r="AX17" i="20"/>
  <c r="AV17" i="20"/>
  <c r="AT17" i="20"/>
  <c r="AR17" i="20"/>
  <c r="AP17" i="20"/>
  <c r="AN17" i="20"/>
  <c r="AL17" i="20"/>
  <c r="AJ17" i="20"/>
  <c r="AH17" i="20"/>
  <c r="AF17" i="20"/>
  <c r="AD17" i="20"/>
  <c r="AB17" i="20"/>
  <c r="Z17" i="20"/>
  <c r="V17" i="20"/>
  <c r="T17" i="20"/>
  <c r="R17" i="20"/>
  <c r="P17" i="20"/>
  <c r="N17" i="20"/>
  <c r="L17" i="20"/>
  <c r="J17" i="20"/>
  <c r="H17" i="20"/>
  <c r="F17" i="20"/>
  <c r="D17" i="20"/>
  <c r="BH16" i="20"/>
  <c r="BF16" i="20"/>
  <c r="BD16" i="20"/>
  <c r="BB16" i="20"/>
  <c r="AZ16" i="20"/>
  <c r="AX16" i="20"/>
  <c r="AV16" i="20"/>
  <c r="AT16" i="20"/>
  <c r="AR16" i="20"/>
  <c r="AP16" i="20"/>
  <c r="AN16" i="20"/>
  <c r="AL16" i="20"/>
  <c r="AJ16" i="20"/>
  <c r="AH16" i="20"/>
  <c r="AF16" i="20"/>
  <c r="AD16" i="20"/>
  <c r="AB16" i="20"/>
  <c r="Z16" i="20"/>
  <c r="V16" i="20"/>
  <c r="T16" i="20"/>
  <c r="R16" i="20"/>
  <c r="P16" i="20"/>
  <c r="N16" i="20"/>
  <c r="L16" i="20"/>
  <c r="J16" i="20"/>
  <c r="H16" i="20"/>
  <c r="F16" i="20"/>
  <c r="D16" i="20"/>
  <c r="BH15" i="20"/>
  <c r="BF15" i="20"/>
  <c r="BD15" i="20"/>
  <c r="BB15" i="20"/>
  <c r="AZ15" i="20"/>
  <c r="AX15" i="20"/>
  <c r="AV15" i="20"/>
  <c r="AT15" i="20"/>
  <c r="AR15" i="20"/>
  <c r="AP15" i="20"/>
  <c r="AN15" i="20"/>
  <c r="AL15" i="20"/>
  <c r="AJ15" i="20"/>
  <c r="AH15" i="20"/>
  <c r="AF15" i="20"/>
  <c r="AD15" i="20"/>
  <c r="AB15" i="20"/>
  <c r="Z15" i="20"/>
  <c r="V15" i="20"/>
  <c r="T15" i="20"/>
  <c r="R15" i="20"/>
  <c r="P15" i="20"/>
  <c r="N15" i="20"/>
  <c r="L15" i="20"/>
  <c r="J15" i="20"/>
  <c r="H15" i="20"/>
  <c r="F15" i="20"/>
  <c r="D15" i="20"/>
  <c r="BH9" i="20"/>
  <c r="BF9" i="20"/>
  <c r="BD9" i="20"/>
  <c r="AY9" i="19"/>
  <c r="BB9" i="20"/>
  <c r="AZ9" i="20"/>
  <c r="AX9" i="20"/>
  <c r="AV9" i="20"/>
  <c r="AT9" i="20"/>
  <c r="AR9" i="20"/>
  <c r="AP9" i="20"/>
  <c r="AN9" i="20"/>
  <c r="AL9" i="20"/>
  <c r="AJ9" i="20"/>
  <c r="AH9" i="20"/>
  <c r="AF9" i="20"/>
  <c r="AD9" i="20"/>
  <c r="AB9" i="20"/>
  <c r="Z9" i="20"/>
  <c r="V9" i="20"/>
  <c r="T9" i="20"/>
  <c r="R9" i="20"/>
  <c r="P9" i="20"/>
  <c r="N9" i="20"/>
  <c r="L9" i="20"/>
  <c r="J9" i="20"/>
  <c r="H9" i="20"/>
  <c r="F9" i="20"/>
  <c r="D9" i="20"/>
  <c r="BH14" i="20"/>
  <c r="BF14" i="20"/>
  <c r="BD14" i="20"/>
  <c r="BB14" i="20"/>
  <c r="AZ14" i="20"/>
  <c r="AX14" i="20"/>
  <c r="AV14" i="20"/>
  <c r="AT14" i="20"/>
  <c r="AR14" i="20"/>
  <c r="AP14" i="20"/>
  <c r="AN14" i="20"/>
  <c r="AL14" i="20"/>
  <c r="AJ14" i="20"/>
  <c r="AH14" i="20"/>
  <c r="AF14" i="20"/>
  <c r="AD14" i="20"/>
  <c r="AB14" i="20"/>
  <c r="Z14" i="20"/>
  <c r="V14" i="20"/>
  <c r="T14" i="20"/>
  <c r="R14" i="20"/>
  <c r="P14" i="20"/>
  <c r="N14" i="20"/>
  <c r="L14" i="20"/>
  <c r="J14" i="20"/>
  <c r="H14" i="20"/>
  <c r="F14" i="20"/>
  <c r="D14" i="20"/>
  <c r="BH13" i="20"/>
  <c r="BF13" i="20"/>
  <c r="BD13" i="20"/>
  <c r="BB13" i="20"/>
  <c r="AZ13" i="20"/>
  <c r="AX13" i="20"/>
  <c r="AV13" i="20"/>
  <c r="AT13" i="20"/>
  <c r="AR13" i="20"/>
  <c r="AP13" i="20"/>
  <c r="AN13" i="20"/>
  <c r="AL13" i="20"/>
  <c r="AJ13" i="20"/>
  <c r="AH13" i="20"/>
  <c r="AF13" i="20"/>
  <c r="AD13" i="20"/>
  <c r="AB13" i="20"/>
  <c r="Z13" i="20"/>
  <c r="V13" i="20"/>
  <c r="T13" i="20"/>
  <c r="R13" i="20"/>
  <c r="P13" i="20"/>
  <c r="N13" i="20"/>
  <c r="L13" i="20"/>
  <c r="J13" i="20"/>
  <c r="H13" i="20"/>
  <c r="F13" i="20"/>
  <c r="D13" i="20"/>
  <c r="BH12" i="20"/>
  <c r="BF12" i="20"/>
  <c r="BD12" i="20"/>
  <c r="BB12" i="20"/>
  <c r="AZ12" i="20"/>
  <c r="AX12" i="20"/>
  <c r="AV12" i="20"/>
  <c r="AT12" i="20"/>
  <c r="AR12" i="20"/>
  <c r="AP12" i="20"/>
  <c r="AN12" i="20"/>
  <c r="AL12" i="20"/>
  <c r="AJ12" i="20"/>
  <c r="AH12" i="20"/>
  <c r="AF12" i="20"/>
  <c r="AD12" i="20"/>
  <c r="AB12" i="20"/>
  <c r="Z12" i="20"/>
  <c r="V12" i="20"/>
  <c r="T12" i="20"/>
  <c r="R12" i="20"/>
  <c r="P12" i="20"/>
  <c r="N12" i="20"/>
  <c r="L12" i="20"/>
  <c r="J12" i="20"/>
  <c r="H12" i="20"/>
  <c r="F12" i="20"/>
  <c r="D12" i="20"/>
  <c r="BH8" i="20"/>
  <c r="BF8" i="20"/>
  <c r="BD8" i="20"/>
  <c r="C8" i="20"/>
  <c r="BB8" i="20"/>
  <c r="AZ8" i="20"/>
  <c r="AX8" i="20"/>
  <c r="AV8" i="20"/>
  <c r="AT8" i="20"/>
  <c r="AR8" i="20"/>
  <c r="AP8" i="20"/>
  <c r="AN8" i="20"/>
  <c r="AL8" i="20"/>
  <c r="AJ8" i="20"/>
  <c r="AH8" i="20"/>
  <c r="AF8" i="20"/>
  <c r="AD8" i="20"/>
  <c r="AB8" i="20"/>
  <c r="Z8" i="20"/>
  <c r="V8" i="20"/>
  <c r="T8" i="20"/>
  <c r="R8" i="20"/>
  <c r="P8" i="20"/>
  <c r="N8" i="20"/>
  <c r="L8" i="20"/>
  <c r="J8" i="20"/>
  <c r="H8" i="20"/>
  <c r="F8" i="20"/>
  <c r="D8" i="20"/>
  <c r="BP26" i="19"/>
  <c r="BL26" i="19"/>
  <c r="BI41" i="20" s="1"/>
  <c r="BJ26" i="19"/>
  <c r="BF26" i="19"/>
  <c r="BD26" i="19"/>
  <c r="AZ26" i="19"/>
  <c r="AW26" i="19"/>
  <c r="AS26" i="19"/>
  <c r="AS41" i="20" s="1"/>
  <c r="AQ26" i="19"/>
  <c r="AM26" i="19"/>
  <c r="AQ41" i="20" s="1"/>
  <c r="AK26" i="19"/>
  <c r="AG26" i="19"/>
  <c r="AM41" i="20" s="1"/>
  <c r="AE26" i="19"/>
  <c r="AA26" i="19"/>
  <c r="AK41" i="20" s="1"/>
  <c r="Y26" i="19"/>
  <c r="U26" i="19"/>
  <c r="AI41" i="20" s="1"/>
  <c r="O26" i="19"/>
  <c r="S26" i="19" s="1"/>
  <c r="BO25" i="19"/>
  <c r="BN25" i="19"/>
  <c r="BK25" i="19"/>
  <c r="BI25" i="19"/>
  <c r="BH25" i="19"/>
  <c r="BE25" i="19"/>
  <c r="BC25" i="19"/>
  <c r="AY25" i="19"/>
  <c r="AX25" i="19"/>
  <c r="AV25" i="19"/>
  <c r="AU25" i="19"/>
  <c r="AR25" i="19"/>
  <c r="AP25" i="19"/>
  <c r="AO25" i="19"/>
  <c r="AL25" i="19"/>
  <c r="AJ25" i="19"/>
  <c r="AI25" i="19"/>
  <c r="AF25" i="19"/>
  <c r="AD25" i="19"/>
  <c r="AC25" i="19"/>
  <c r="Z25" i="19"/>
  <c r="X25" i="19"/>
  <c r="W25" i="19"/>
  <c r="T25" i="19"/>
  <c r="S25" i="19"/>
  <c r="G25" i="19" s="1"/>
  <c r="VI30" i="21" s="1"/>
  <c r="BF28" i="17" s="1"/>
  <c r="N25" i="19"/>
  <c r="R25" i="19" s="1"/>
  <c r="P25" i="19" s="1"/>
  <c r="L25" i="19"/>
  <c r="K25" i="19"/>
  <c r="H25" i="19"/>
  <c r="BO24" i="19"/>
  <c r="BN24" i="19"/>
  <c r="BK24" i="19"/>
  <c r="BI24" i="19"/>
  <c r="BH24" i="19"/>
  <c r="BE24" i="19"/>
  <c r="BC24" i="19"/>
  <c r="AY24" i="19"/>
  <c r="AX24" i="19"/>
  <c r="AV24" i="19"/>
  <c r="AU24" i="19"/>
  <c r="AR24" i="19"/>
  <c r="AP24" i="19"/>
  <c r="AO24" i="19"/>
  <c r="AL24" i="19"/>
  <c r="AJ24" i="19"/>
  <c r="AI24" i="19"/>
  <c r="AF24" i="19"/>
  <c r="AD24" i="19"/>
  <c r="AC24" i="19"/>
  <c r="Z24" i="19"/>
  <c r="X24" i="19"/>
  <c r="W24" i="19"/>
  <c r="T24" i="19"/>
  <c r="S24" i="19"/>
  <c r="G24" i="19" s="1"/>
  <c r="VI29" i="21" s="1"/>
  <c r="BF27" i="17" s="1"/>
  <c r="N24" i="19"/>
  <c r="R24" i="19" s="1"/>
  <c r="L24" i="19"/>
  <c r="K24" i="19"/>
  <c r="H24" i="19"/>
  <c r="BO23" i="19"/>
  <c r="BN23" i="19"/>
  <c r="BK23" i="19"/>
  <c r="BI23" i="19"/>
  <c r="BH23" i="19"/>
  <c r="BE23" i="19"/>
  <c r="BC23" i="19"/>
  <c r="AY23" i="19"/>
  <c r="AX23" i="19"/>
  <c r="AV23" i="19"/>
  <c r="AU23" i="19"/>
  <c r="AR23" i="19"/>
  <c r="AP23" i="19"/>
  <c r="AO23" i="19"/>
  <c r="AL23" i="19"/>
  <c r="AJ23" i="19"/>
  <c r="AI23" i="19"/>
  <c r="AF23" i="19"/>
  <c r="AD23" i="19"/>
  <c r="AC23" i="19"/>
  <c r="Z23" i="19"/>
  <c r="X23" i="19"/>
  <c r="W23" i="19"/>
  <c r="T23" i="19"/>
  <c r="S23" i="19"/>
  <c r="G23" i="19" s="1"/>
  <c r="VI28" i="21" s="1"/>
  <c r="BF26" i="17" s="1"/>
  <c r="N23" i="19"/>
  <c r="R23" i="19" s="1"/>
  <c r="L23" i="19"/>
  <c r="K23" i="19"/>
  <c r="H23" i="19"/>
  <c r="BO22" i="19"/>
  <c r="BN22" i="19"/>
  <c r="BK22" i="19"/>
  <c r="BI22" i="19"/>
  <c r="BH22" i="19"/>
  <c r="BE22" i="19"/>
  <c r="BC22" i="19"/>
  <c r="AY22" i="19"/>
  <c r="AX22" i="19"/>
  <c r="AV22" i="19"/>
  <c r="AU22" i="19"/>
  <c r="AR22" i="19"/>
  <c r="AP22" i="19"/>
  <c r="AO22" i="19"/>
  <c r="AL22" i="19"/>
  <c r="AJ22" i="19"/>
  <c r="AI22" i="19"/>
  <c r="AF22" i="19"/>
  <c r="AD22" i="19"/>
  <c r="AC22" i="19"/>
  <c r="Z22" i="19"/>
  <c r="X22" i="19"/>
  <c r="W22" i="19"/>
  <c r="T22" i="19"/>
  <c r="S22" i="19"/>
  <c r="G22" i="19" s="1"/>
  <c r="VI27" i="21" s="1"/>
  <c r="BF25" i="17" s="1"/>
  <c r="N22" i="19"/>
  <c r="R22" i="19" s="1"/>
  <c r="L22" i="19"/>
  <c r="K22" i="19"/>
  <c r="H22" i="19"/>
  <c r="BO11" i="19"/>
  <c r="BN11" i="19"/>
  <c r="BK11" i="19"/>
  <c r="BI11" i="19"/>
  <c r="BH11" i="19"/>
  <c r="BE11" i="19"/>
  <c r="BC11" i="19"/>
  <c r="AX11" i="19"/>
  <c r="AV11" i="19"/>
  <c r="AU11" i="19"/>
  <c r="AR11" i="19"/>
  <c r="AP11" i="19"/>
  <c r="AO11" i="19"/>
  <c r="AL11" i="19"/>
  <c r="AJ11" i="19"/>
  <c r="AI11" i="19"/>
  <c r="AF11" i="19"/>
  <c r="AD11" i="19"/>
  <c r="AC11" i="19"/>
  <c r="Z11" i="19"/>
  <c r="X11" i="19"/>
  <c r="W11" i="19"/>
  <c r="T11" i="19"/>
  <c r="S11" i="19"/>
  <c r="G11" i="19" s="1"/>
  <c r="VI16" i="21" s="1"/>
  <c r="BF24" i="17" s="1"/>
  <c r="N11" i="19"/>
  <c r="R11" i="19" s="1"/>
  <c r="L11" i="19"/>
  <c r="K11" i="19"/>
  <c r="H11" i="19"/>
  <c r="BO21" i="19"/>
  <c r="BN21" i="19"/>
  <c r="BK21" i="19"/>
  <c r="BI21" i="19"/>
  <c r="BH21" i="19"/>
  <c r="BE21" i="19"/>
  <c r="BC21" i="19"/>
  <c r="AY21" i="19"/>
  <c r="AX21" i="19"/>
  <c r="AV21" i="19"/>
  <c r="AU21" i="19"/>
  <c r="AR21" i="19"/>
  <c r="AP21" i="19"/>
  <c r="AO21" i="19"/>
  <c r="AL21" i="19"/>
  <c r="AJ21" i="19"/>
  <c r="AI21" i="19"/>
  <c r="AF21" i="19"/>
  <c r="AD21" i="19"/>
  <c r="AC21" i="19"/>
  <c r="Z21" i="19"/>
  <c r="X21" i="19"/>
  <c r="W21" i="19"/>
  <c r="T21" i="19"/>
  <c r="S21" i="19"/>
  <c r="G21" i="19" s="1"/>
  <c r="VI26" i="21" s="1"/>
  <c r="BF23" i="17" s="1"/>
  <c r="N21" i="19"/>
  <c r="R21" i="19" s="1"/>
  <c r="P21" i="19" s="1"/>
  <c r="L21" i="19"/>
  <c r="K21" i="19"/>
  <c r="H21" i="19"/>
  <c r="BO20" i="19"/>
  <c r="BN20" i="19"/>
  <c r="BK20" i="19"/>
  <c r="BI20" i="19"/>
  <c r="BH20" i="19"/>
  <c r="BE20" i="19"/>
  <c r="BC20" i="19"/>
  <c r="AY20" i="19"/>
  <c r="AX20" i="19"/>
  <c r="AV20" i="19"/>
  <c r="AU20" i="19"/>
  <c r="AR20" i="19"/>
  <c r="AP20" i="19"/>
  <c r="AO20" i="19"/>
  <c r="AL20" i="19"/>
  <c r="AJ20" i="19"/>
  <c r="AI20" i="19"/>
  <c r="AF20" i="19"/>
  <c r="AD20" i="19"/>
  <c r="AC20" i="19"/>
  <c r="Z20" i="19"/>
  <c r="X20" i="19"/>
  <c r="W20" i="19"/>
  <c r="T20" i="19"/>
  <c r="S20" i="19"/>
  <c r="G20" i="19" s="1"/>
  <c r="VI25" i="21" s="1"/>
  <c r="BF22" i="17" s="1"/>
  <c r="N20" i="19"/>
  <c r="R20" i="19" s="1"/>
  <c r="L20" i="19"/>
  <c r="K20" i="19"/>
  <c r="H20" i="19"/>
  <c r="BO19" i="19"/>
  <c r="BN19" i="19"/>
  <c r="BK19" i="19"/>
  <c r="BI19" i="19"/>
  <c r="BH19" i="19"/>
  <c r="BE19" i="19"/>
  <c r="BC19" i="19"/>
  <c r="AY19" i="19"/>
  <c r="AX19" i="19"/>
  <c r="AV19" i="19"/>
  <c r="AU19" i="19"/>
  <c r="AR19" i="19"/>
  <c r="AP19" i="19"/>
  <c r="AO19" i="19"/>
  <c r="AL19" i="19"/>
  <c r="AJ19" i="19"/>
  <c r="AI19" i="19"/>
  <c r="AF19" i="19"/>
  <c r="AD19" i="19"/>
  <c r="AC19" i="19"/>
  <c r="Z19" i="19"/>
  <c r="X19" i="19"/>
  <c r="W19" i="19"/>
  <c r="T19" i="19"/>
  <c r="S19" i="19"/>
  <c r="Q19" i="19" s="1"/>
  <c r="N19" i="19"/>
  <c r="R19" i="19" s="1"/>
  <c r="L19" i="19"/>
  <c r="H19" i="19"/>
  <c r="BO18" i="19"/>
  <c r="BN18" i="19"/>
  <c r="BK18" i="19"/>
  <c r="BI18" i="19"/>
  <c r="BH18" i="19"/>
  <c r="BE18" i="19"/>
  <c r="BC18" i="19"/>
  <c r="AY18" i="19"/>
  <c r="AX18" i="19"/>
  <c r="AV18" i="19"/>
  <c r="AU18" i="19"/>
  <c r="AR18" i="19"/>
  <c r="AP18" i="19"/>
  <c r="AO18" i="19"/>
  <c r="AL18" i="19"/>
  <c r="AJ18" i="19"/>
  <c r="AI18" i="19"/>
  <c r="AF18" i="19"/>
  <c r="AD18" i="19"/>
  <c r="AC18" i="19"/>
  <c r="Z18" i="19"/>
  <c r="X18" i="19"/>
  <c r="W18" i="19"/>
  <c r="T18" i="19"/>
  <c r="S18" i="19"/>
  <c r="G18" i="19" s="1"/>
  <c r="VI23" i="21" s="1"/>
  <c r="BF20" i="17" s="1"/>
  <c r="N18" i="19"/>
  <c r="R18" i="19" s="1"/>
  <c r="P18" i="19" s="1"/>
  <c r="L18" i="19"/>
  <c r="K18" i="19"/>
  <c r="H18" i="19"/>
  <c r="BO10" i="19"/>
  <c r="BN10" i="19"/>
  <c r="BK10" i="19"/>
  <c r="BI10" i="19"/>
  <c r="BH10" i="19"/>
  <c r="BE10" i="19"/>
  <c r="BC10" i="19"/>
  <c r="AX10" i="19"/>
  <c r="AV10" i="19"/>
  <c r="AU10" i="19"/>
  <c r="AR10" i="19"/>
  <c r="AP10" i="19"/>
  <c r="AO10" i="19"/>
  <c r="AL10" i="19"/>
  <c r="AJ10" i="19"/>
  <c r="AI10" i="19"/>
  <c r="AF10" i="19"/>
  <c r="AD10" i="19"/>
  <c r="AC10" i="19"/>
  <c r="Z10" i="19"/>
  <c r="X10" i="19"/>
  <c r="W10" i="19"/>
  <c r="T10" i="19"/>
  <c r="S10" i="19"/>
  <c r="G10" i="19" s="1"/>
  <c r="VI15" i="21" s="1"/>
  <c r="BF19" i="17" s="1"/>
  <c r="N10" i="19"/>
  <c r="R10" i="19" s="1"/>
  <c r="P10" i="19" s="1"/>
  <c r="L10" i="19"/>
  <c r="K10" i="19"/>
  <c r="H10" i="19"/>
  <c r="BO17" i="19"/>
  <c r="BN17" i="19"/>
  <c r="BK17" i="19"/>
  <c r="BI17" i="19"/>
  <c r="BH17" i="19"/>
  <c r="BE17" i="19"/>
  <c r="BC17" i="19"/>
  <c r="AY17" i="19"/>
  <c r="AX17" i="19"/>
  <c r="AV17" i="19"/>
  <c r="AU17" i="19"/>
  <c r="AR17" i="19"/>
  <c r="AP17" i="19"/>
  <c r="AO17" i="19"/>
  <c r="AL17" i="19"/>
  <c r="AJ17" i="19"/>
  <c r="AI17" i="19"/>
  <c r="AF17" i="19"/>
  <c r="AD17" i="19"/>
  <c r="AC17" i="19"/>
  <c r="Z17" i="19"/>
  <c r="X17" i="19"/>
  <c r="W17" i="19"/>
  <c r="T17" i="19"/>
  <c r="S17" i="19"/>
  <c r="G17" i="19" s="1"/>
  <c r="VI22" i="21" s="1"/>
  <c r="BF18" i="17" s="1"/>
  <c r="N17" i="19"/>
  <c r="R17" i="19" s="1"/>
  <c r="P17" i="19" s="1"/>
  <c r="L17" i="19"/>
  <c r="K17" i="19"/>
  <c r="H17" i="19"/>
  <c r="BO16" i="19"/>
  <c r="BN16" i="19"/>
  <c r="BK16" i="19"/>
  <c r="BI16" i="19"/>
  <c r="BH16" i="19"/>
  <c r="BE16" i="19"/>
  <c r="BC16" i="19"/>
  <c r="AY16" i="19"/>
  <c r="AX16" i="19"/>
  <c r="AV16" i="19"/>
  <c r="AU16" i="19"/>
  <c r="AR16" i="19"/>
  <c r="AP16" i="19"/>
  <c r="AO16" i="19"/>
  <c r="AL16" i="19"/>
  <c r="AJ16" i="19"/>
  <c r="AI16" i="19"/>
  <c r="AF16" i="19"/>
  <c r="AD16" i="19"/>
  <c r="AC16" i="19"/>
  <c r="Z16" i="19"/>
  <c r="X16" i="19"/>
  <c r="W16" i="19"/>
  <c r="T16" i="19"/>
  <c r="S16" i="19"/>
  <c r="G16" i="19" s="1"/>
  <c r="VI21" i="21" s="1"/>
  <c r="BF17" i="17" s="1"/>
  <c r="N16" i="19"/>
  <c r="R16" i="19" s="1"/>
  <c r="P16" i="19" s="1"/>
  <c r="L16" i="19"/>
  <c r="K16" i="19"/>
  <c r="H16" i="19"/>
  <c r="BO15" i="19"/>
  <c r="BN15" i="19"/>
  <c r="BK15" i="19"/>
  <c r="BI15" i="19"/>
  <c r="BH15" i="19"/>
  <c r="BE15" i="19"/>
  <c r="BC15" i="19"/>
  <c r="AY15" i="19"/>
  <c r="AX15" i="19"/>
  <c r="AV15" i="19"/>
  <c r="AU15" i="19"/>
  <c r="AR15" i="19"/>
  <c r="AP15" i="19"/>
  <c r="AO15" i="19"/>
  <c r="AL15" i="19"/>
  <c r="AJ15" i="19"/>
  <c r="AI15" i="19"/>
  <c r="AF15" i="19"/>
  <c r="AD15" i="19"/>
  <c r="AC15" i="19"/>
  <c r="Z15" i="19"/>
  <c r="X15" i="19"/>
  <c r="W15" i="19"/>
  <c r="T15" i="19"/>
  <c r="S15" i="19"/>
  <c r="G15" i="19" s="1"/>
  <c r="VI20" i="21" s="1"/>
  <c r="BF16" i="17" s="1"/>
  <c r="N15" i="19"/>
  <c r="R15" i="19" s="1"/>
  <c r="P15" i="19" s="1"/>
  <c r="L15" i="19"/>
  <c r="K15" i="19"/>
  <c r="H15" i="19"/>
  <c r="BO9" i="19"/>
  <c r="BN9" i="19"/>
  <c r="BK9" i="19"/>
  <c r="BI9" i="19"/>
  <c r="BH9" i="19"/>
  <c r="BE9" i="19"/>
  <c r="BC9" i="19"/>
  <c r="AX9" i="19"/>
  <c r="AV9" i="19"/>
  <c r="AU9" i="19"/>
  <c r="AR9" i="19"/>
  <c r="AP9" i="19"/>
  <c r="AO9" i="19"/>
  <c r="AL9" i="19"/>
  <c r="AJ9" i="19"/>
  <c r="AI9" i="19"/>
  <c r="AF9" i="19"/>
  <c r="AD9" i="19"/>
  <c r="AC9" i="19"/>
  <c r="Z9" i="19"/>
  <c r="X9" i="19"/>
  <c r="W9" i="19"/>
  <c r="T9" i="19"/>
  <c r="S9" i="19"/>
  <c r="G9" i="19" s="1"/>
  <c r="VI14" i="21" s="1"/>
  <c r="BF15" i="17" s="1"/>
  <c r="N9" i="19"/>
  <c r="R9" i="19" s="1"/>
  <c r="P9" i="19" s="1"/>
  <c r="L9" i="19"/>
  <c r="K9" i="19"/>
  <c r="H9" i="19"/>
  <c r="BO14" i="19"/>
  <c r="BN14" i="19"/>
  <c r="BK14" i="19"/>
  <c r="BI14" i="19"/>
  <c r="BH14" i="19"/>
  <c r="BE14" i="19"/>
  <c r="BC14" i="19"/>
  <c r="AY14" i="19"/>
  <c r="AX14" i="19"/>
  <c r="AV14" i="19"/>
  <c r="AU14" i="19"/>
  <c r="AR14" i="19"/>
  <c r="AP14" i="19"/>
  <c r="AO14" i="19"/>
  <c r="AL14" i="19"/>
  <c r="AJ14" i="19"/>
  <c r="AI14" i="19"/>
  <c r="AF14" i="19"/>
  <c r="AD14" i="19"/>
  <c r="AC14" i="19"/>
  <c r="Z14" i="19"/>
  <c r="X14" i="19"/>
  <c r="W14" i="19"/>
  <c r="T14" i="19"/>
  <c r="S14" i="19"/>
  <c r="G14" i="19" s="1"/>
  <c r="VI19" i="21" s="1"/>
  <c r="BF14" i="17" s="1"/>
  <c r="N14" i="19"/>
  <c r="R14" i="19" s="1"/>
  <c r="P14" i="19" s="1"/>
  <c r="L14" i="19"/>
  <c r="K14" i="19"/>
  <c r="H14" i="19"/>
  <c r="BO13" i="19"/>
  <c r="BN13" i="19"/>
  <c r="BK13" i="19"/>
  <c r="BI13" i="19"/>
  <c r="BH13" i="19"/>
  <c r="BE13" i="19"/>
  <c r="BC13" i="19"/>
  <c r="AY13" i="19"/>
  <c r="AX13" i="19"/>
  <c r="AV13" i="19"/>
  <c r="AU13" i="19"/>
  <c r="AR13" i="19"/>
  <c r="AP13" i="19"/>
  <c r="AO13" i="19"/>
  <c r="AL13" i="19"/>
  <c r="AJ13" i="19"/>
  <c r="AI13" i="19"/>
  <c r="AF13" i="19"/>
  <c r="AD13" i="19"/>
  <c r="AC13" i="19"/>
  <c r="Z13" i="19"/>
  <c r="X13" i="19"/>
  <c r="W13" i="19"/>
  <c r="T13" i="19"/>
  <c r="S13" i="19"/>
  <c r="G13" i="19" s="1"/>
  <c r="VI18" i="21" s="1"/>
  <c r="BF13" i="17" s="1"/>
  <c r="N13" i="19"/>
  <c r="R13" i="19" s="1"/>
  <c r="P13" i="19" s="1"/>
  <c r="L13" i="19"/>
  <c r="K13" i="19"/>
  <c r="H13" i="19"/>
  <c r="BO12" i="19"/>
  <c r="BN12" i="19"/>
  <c r="BK12" i="19"/>
  <c r="BI12" i="19"/>
  <c r="BH12" i="19"/>
  <c r="BE12" i="19"/>
  <c r="BC12" i="19"/>
  <c r="AY12" i="19"/>
  <c r="AX12" i="19"/>
  <c r="AV12" i="19"/>
  <c r="AU12" i="19"/>
  <c r="AR12" i="19"/>
  <c r="AP12" i="19"/>
  <c r="AO12" i="19"/>
  <c r="AL12" i="19"/>
  <c r="AJ12" i="19"/>
  <c r="AI12" i="19"/>
  <c r="AF12" i="19"/>
  <c r="AD12" i="19"/>
  <c r="AC12" i="19"/>
  <c r="Z12" i="19"/>
  <c r="X12" i="19"/>
  <c r="W12" i="19"/>
  <c r="T12" i="19"/>
  <c r="S12" i="19"/>
  <c r="G12" i="19" s="1"/>
  <c r="VI17" i="21" s="1"/>
  <c r="BF12" i="17" s="1"/>
  <c r="N12" i="19"/>
  <c r="R12" i="19" s="1"/>
  <c r="P12" i="19" s="1"/>
  <c r="L12" i="19"/>
  <c r="K12" i="19"/>
  <c r="H12" i="19"/>
  <c r="BO8" i="19"/>
  <c r="BN8" i="19"/>
  <c r="BK8" i="19"/>
  <c r="BI8" i="19"/>
  <c r="BH8" i="19"/>
  <c r="BE8" i="19"/>
  <c r="BC8" i="19"/>
  <c r="AY8" i="19"/>
  <c r="AX8" i="19"/>
  <c r="AV8" i="19"/>
  <c r="AU8" i="19"/>
  <c r="AR8" i="19"/>
  <c r="AP8" i="19"/>
  <c r="AO8" i="19"/>
  <c r="AL8" i="19"/>
  <c r="AJ8" i="19"/>
  <c r="AI8" i="19"/>
  <c r="AF8" i="19"/>
  <c r="AD8" i="19"/>
  <c r="AC8" i="19"/>
  <c r="Z8" i="19"/>
  <c r="X8" i="19"/>
  <c r="W8" i="19"/>
  <c r="T8" i="19"/>
  <c r="S8" i="19"/>
  <c r="G8" i="19" s="1"/>
  <c r="VI13" i="21" s="1"/>
  <c r="BF11" i="17" s="1"/>
  <c r="N8" i="19"/>
  <c r="L8" i="19"/>
  <c r="K8" i="19"/>
  <c r="H8" i="19"/>
  <c r="AO33" i="18"/>
  <c r="AO32" i="18" s="1"/>
  <c r="AM33" i="18"/>
  <c r="AM32" i="18" s="1"/>
  <c r="AK33" i="18"/>
  <c r="AK32" i="18" s="1"/>
  <c r="AI33" i="18"/>
  <c r="AI32" i="18" s="1"/>
  <c r="AG33" i="18"/>
  <c r="AG32" i="18" s="1"/>
  <c r="AE33" i="18"/>
  <c r="AE32" i="18" s="1"/>
  <c r="AC33" i="18"/>
  <c r="AC32" i="18" s="1"/>
  <c r="AA33" i="18"/>
  <c r="AA32" i="18" s="1"/>
  <c r="Y33" i="18"/>
  <c r="Y32" i="18" s="1"/>
  <c r="W33" i="18"/>
  <c r="W32" i="18" s="1"/>
  <c r="U33" i="18"/>
  <c r="U32" i="18" s="1"/>
  <c r="S33" i="18"/>
  <c r="Q33" i="18"/>
  <c r="Q32" i="18" s="1"/>
  <c r="O33" i="18"/>
  <c r="O32" i="18" s="1"/>
  <c r="M33" i="18"/>
  <c r="M32" i="18" s="1"/>
  <c r="K33" i="18"/>
  <c r="K32" i="18" s="1"/>
  <c r="I33" i="18"/>
  <c r="I32" i="18" s="1"/>
  <c r="G33" i="18"/>
  <c r="G32" i="18" s="1"/>
  <c r="E33" i="18"/>
  <c r="E32" i="18" s="1"/>
  <c r="AO31" i="18"/>
  <c r="AM31" i="18"/>
  <c r="AK31" i="18"/>
  <c r="AI31" i="18"/>
  <c r="AG31" i="18"/>
  <c r="AE31" i="18"/>
  <c r="AC31" i="18"/>
  <c r="AA31" i="18"/>
  <c r="Y31" i="18"/>
  <c r="W31" i="18"/>
  <c r="S31" i="18"/>
  <c r="Q31" i="18"/>
  <c r="O31" i="18"/>
  <c r="M31" i="18"/>
  <c r="K31" i="18"/>
  <c r="I31" i="18"/>
  <c r="G31" i="18"/>
  <c r="E31" i="18"/>
  <c r="AO28" i="18"/>
  <c r="AM28" i="18"/>
  <c r="AK28" i="18"/>
  <c r="AI28" i="18"/>
  <c r="AG28" i="18"/>
  <c r="AE28" i="18"/>
  <c r="AC28" i="18"/>
  <c r="AA28" i="18"/>
  <c r="Y28" i="18"/>
  <c r="W28" i="18"/>
  <c r="Q28" i="18"/>
  <c r="O28" i="18"/>
  <c r="M28" i="18"/>
  <c r="K28" i="18"/>
  <c r="I28" i="18"/>
  <c r="G28" i="18"/>
  <c r="E28" i="18"/>
  <c r="AN27" i="18"/>
  <c r="AL27" i="18"/>
  <c r="AJ27" i="18"/>
  <c r="AH27" i="18"/>
  <c r="AF27" i="18"/>
  <c r="AD27" i="18"/>
  <c r="AB27" i="18"/>
  <c r="Z27" i="18"/>
  <c r="X27" i="18"/>
  <c r="V27" i="18"/>
  <c r="T27" i="18"/>
  <c r="R27" i="18"/>
  <c r="P27" i="18"/>
  <c r="N27" i="18"/>
  <c r="L27" i="18"/>
  <c r="J27" i="18"/>
  <c r="H27" i="18"/>
  <c r="F27" i="18"/>
  <c r="D27" i="18"/>
  <c r="C27" i="18"/>
  <c r="VQ33" i="21" s="1"/>
  <c r="AN26" i="18"/>
  <c r="AL26" i="18"/>
  <c r="AJ26" i="18"/>
  <c r="AH26" i="18"/>
  <c r="AF26" i="18"/>
  <c r="AD26" i="18"/>
  <c r="AB26" i="18"/>
  <c r="Z26" i="18"/>
  <c r="X26" i="18"/>
  <c r="V26" i="18"/>
  <c r="T26" i="18"/>
  <c r="R26" i="18"/>
  <c r="P26" i="18"/>
  <c r="N26" i="18"/>
  <c r="L26" i="18"/>
  <c r="J26" i="18"/>
  <c r="H26" i="18"/>
  <c r="F26" i="18"/>
  <c r="D26" i="18"/>
  <c r="C26" i="18"/>
  <c r="VQ34" i="21" s="1"/>
  <c r="VN34" i="21" s="1"/>
  <c r="VM34" i="21" s="1"/>
  <c r="AN25" i="18"/>
  <c r="AL25" i="18"/>
  <c r="AJ25" i="18"/>
  <c r="AH25" i="18"/>
  <c r="AF25" i="18"/>
  <c r="AD25" i="18"/>
  <c r="AB25" i="18"/>
  <c r="Z25" i="18"/>
  <c r="X25" i="18"/>
  <c r="V25" i="18"/>
  <c r="T25" i="18"/>
  <c r="R25" i="18"/>
  <c r="P25" i="18"/>
  <c r="N25" i="18"/>
  <c r="L25" i="18"/>
  <c r="J25" i="18"/>
  <c r="H25" i="18"/>
  <c r="F25" i="18"/>
  <c r="D25" i="18"/>
  <c r="C25" i="18"/>
  <c r="VQ30" i="21" s="1"/>
  <c r="VN30" i="21" s="1"/>
  <c r="AN24" i="18"/>
  <c r="AL24" i="18"/>
  <c r="AJ24" i="18"/>
  <c r="AH24" i="18"/>
  <c r="AF24" i="18"/>
  <c r="AD24" i="18"/>
  <c r="AB24" i="18"/>
  <c r="Z24" i="18"/>
  <c r="X24" i="18"/>
  <c r="V24" i="18"/>
  <c r="T24" i="18"/>
  <c r="R24" i="18"/>
  <c r="P24" i="18"/>
  <c r="N24" i="18"/>
  <c r="L24" i="18"/>
  <c r="J24" i="18"/>
  <c r="H24" i="18"/>
  <c r="F24" i="18"/>
  <c r="D24" i="18"/>
  <c r="C24" i="18"/>
  <c r="VQ29" i="21" s="1"/>
  <c r="VN29" i="21" s="1"/>
  <c r="AN23" i="18"/>
  <c r="AL23" i="18"/>
  <c r="AJ23" i="18"/>
  <c r="AH23" i="18"/>
  <c r="AF23" i="18"/>
  <c r="AD23" i="18"/>
  <c r="AB23" i="18"/>
  <c r="Z23" i="18"/>
  <c r="X23" i="18"/>
  <c r="V23" i="18"/>
  <c r="T23" i="18"/>
  <c r="R23" i="18"/>
  <c r="P23" i="18"/>
  <c r="N23" i="18"/>
  <c r="L23" i="18"/>
  <c r="J23" i="18"/>
  <c r="H23" i="18"/>
  <c r="F23" i="18"/>
  <c r="D23" i="18"/>
  <c r="C23" i="18"/>
  <c r="VQ28" i="21" s="1"/>
  <c r="VN28" i="21" s="1"/>
  <c r="AN22" i="18"/>
  <c r="AL22" i="18"/>
  <c r="AJ22" i="18"/>
  <c r="AH22" i="18"/>
  <c r="AF22" i="18"/>
  <c r="AD22" i="18"/>
  <c r="AB22" i="18"/>
  <c r="Z22" i="18"/>
  <c r="X22" i="18"/>
  <c r="V22" i="18"/>
  <c r="T22" i="18"/>
  <c r="R22" i="18"/>
  <c r="P22" i="18"/>
  <c r="N22" i="18"/>
  <c r="L22" i="18"/>
  <c r="J22" i="18"/>
  <c r="H22" i="18"/>
  <c r="F22" i="18"/>
  <c r="D22" i="18"/>
  <c r="C22" i="18"/>
  <c r="VQ27" i="21" s="1"/>
  <c r="VN27" i="21" s="1"/>
  <c r="AN11" i="18"/>
  <c r="AL11" i="18"/>
  <c r="AJ11" i="18"/>
  <c r="AH11" i="18"/>
  <c r="AF11" i="18"/>
  <c r="AD11" i="18"/>
  <c r="AB11" i="18"/>
  <c r="Z11" i="18"/>
  <c r="X11" i="18"/>
  <c r="V11" i="18"/>
  <c r="T11" i="18"/>
  <c r="R11" i="18"/>
  <c r="P11" i="18"/>
  <c r="N11" i="18"/>
  <c r="L11" i="18"/>
  <c r="J11" i="18"/>
  <c r="H11" i="18"/>
  <c r="F11" i="18"/>
  <c r="D11" i="18"/>
  <c r="C11" i="18"/>
  <c r="VQ16" i="21" s="1"/>
  <c r="VN16" i="21" s="1"/>
  <c r="AN21" i="18"/>
  <c r="AL21" i="18"/>
  <c r="AJ21" i="18"/>
  <c r="AH21" i="18"/>
  <c r="AF21" i="18"/>
  <c r="AD21" i="18"/>
  <c r="AB21" i="18"/>
  <c r="Z21" i="18"/>
  <c r="X21" i="18"/>
  <c r="V21" i="18"/>
  <c r="T21" i="18"/>
  <c r="R21" i="18"/>
  <c r="P21" i="18"/>
  <c r="N21" i="18"/>
  <c r="L21" i="18"/>
  <c r="J21" i="18"/>
  <c r="H21" i="18"/>
  <c r="F21" i="18"/>
  <c r="D21" i="18"/>
  <c r="C21" i="18"/>
  <c r="VQ26" i="21" s="1"/>
  <c r="VN26" i="21" s="1"/>
  <c r="AN20" i="18"/>
  <c r="AL20" i="18"/>
  <c r="AJ20" i="18"/>
  <c r="AH20" i="18"/>
  <c r="AF20" i="18"/>
  <c r="AD20" i="18"/>
  <c r="AB20" i="18"/>
  <c r="Z20" i="18"/>
  <c r="X20" i="18"/>
  <c r="V20" i="18"/>
  <c r="T20" i="18"/>
  <c r="R20" i="18"/>
  <c r="P20" i="18"/>
  <c r="N20" i="18"/>
  <c r="L20" i="18"/>
  <c r="J20" i="18"/>
  <c r="H20" i="18"/>
  <c r="F20" i="18"/>
  <c r="D20" i="18"/>
  <c r="C20" i="18"/>
  <c r="VQ25" i="21" s="1"/>
  <c r="VN25" i="21" s="1"/>
  <c r="AN19" i="18"/>
  <c r="AL19" i="18"/>
  <c r="AJ19" i="18"/>
  <c r="AH19" i="18"/>
  <c r="AF19" i="18"/>
  <c r="AD19" i="18"/>
  <c r="AB19" i="18"/>
  <c r="Z19" i="18"/>
  <c r="X19" i="18"/>
  <c r="V19" i="18"/>
  <c r="T19" i="18"/>
  <c r="R19" i="18"/>
  <c r="P19" i="18"/>
  <c r="N19" i="18"/>
  <c r="L19" i="18"/>
  <c r="J19" i="18"/>
  <c r="H19" i="18"/>
  <c r="F19" i="18"/>
  <c r="D19" i="18"/>
  <c r="AN18" i="18"/>
  <c r="AL18" i="18"/>
  <c r="AJ18" i="18"/>
  <c r="AH18" i="18"/>
  <c r="AF18" i="18"/>
  <c r="AD18" i="18"/>
  <c r="AB18" i="18"/>
  <c r="Z18" i="18"/>
  <c r="X18" i="18"/>
  <c r="V18" i="18"/>
  <c r="T18" i="18"/>
  <c r="R18" i="18"/>
  <c r="P18" i="18"/>
  <c r="N18" i="18"/>
  <c r="L18" i="18"/>
  <c r="J18" i="18"/>
  <c r="H18" i="18"/>
  <c r="F18" i="18"/>
  <c r="D18" i="18"/>
  <c r="C18" i="18"/>
  <c r="VQ23" i="21" s="1"/>
  <c r="VN23" i="21" s="1"/>
  <c r="AN10" i="18"/>
  <c r="AL10" i="18"/>
  <c r="AJ10" i="18"/>
  <c r="AH10" i="18"/>
  <c r="AF10" i="18"/>
  <c r="AD10" i="18"/>
  <c r="AB10" i="18"/>
  <c r="Z10" i="18"/>
  <c r="X10" i="18"/>
  <c r="V10" i="18"/>
  <c r="T10" i="18"/>
  <c r="R10" i="18"/>
  <c r="P10" i="18"/>
  <c r="N10" i="18"/>
  <c r="L10" i="18"/>
  <c r="J10" i="18"/>
  <c r="H10" i="18"/>
  <c r="F10" i="18"/>
  <c r="D10" i="18"/>
  <c r="C10" i="18"/>
  <c r="VQ15" i="21" s="1"/>
  <c r="VN15" i="21" s="1"/>
  <c r="AN17" i="18"/>
  <c r="AL17" i="18"/>
  <c r="AJ17" i="18"/>
  <c r="AH17" i="18"/>
  <c r="AF17" i="18"/>
  <c r="AD17" i="18"/>
  <c r="AB17" i="18"/>
  <c r="Z17" i="18"/>
  <c r="X17" i="18"/>
  <c r="V17" i="18"/>
  <c r="T17" i="18"/>
  <c r="R17" i="18"/>
  <c r="P17" i="18"/>
  <c r="N17" i="18"/>
  <c r="L17" i="18"/>
  <c r="J17" i="18"/>
  <c r="H17" i="18"/>
  <c r="F17" i="18"/>
  <c r="D17" i="18"/>
  <c r="C17" i="18"/>
  <c r="VQ22" i="21" s="1"/>
  <c r="VN22" i="21" s="1"/>
  <c r="AN16" i="18"/>
  <c r="AL16" i="18"/>
  <c r="AJ16" i="18"/>
  <c r="AH16" i="18"/>
  <c r="AF16" i="18"/>
  <c r="AD16" i="18"/>
  <c r="AB16" i="18"/>
  <c r="Z16" i="18"/>
  <c r="X16" i="18"/>
  <c r="V16" i="18"/>
  <c r="T16" i="18"/>
  <c r="R16" i="18"/>
  <c r="P16" i="18"/>
  <c r="N16" i="18"/>
  <c r="L16" i="18"/>
  <c r="J16" i="18"/>
  <c r="H16" i="18"/>
  <c r="F16" i="18"/>
  <c r="D16" i="18"/>
  <c r="C16" i="18"/>
  <c r="VQ21" i="21" s="1"/>
  <c r="VN21" i="21" s="1"/>
  <c r="AN15" i="18"/>
  <c r="AL15" i="18"/>
  <c r="AJ15" i="18"/>
  <c r="AH15" i="18"/>
  <c r="AF15" i="18"/>
  <c r="AD15" i="18"/>
  <c r="AB15" i="18"/>
  <c r="Z15" i="18"/>
  <c r="X15" i="18"/>
  <c r="V15" i="18"/>
  <c r="T15" i="18"/>
  <c r="R15" i="18"/>
  <c r="P15" i="18"/>
  <c r="N15" i="18"/>
  <c r="L15" i="18"/>
  <c r="J15" i="18"/>
  <c r="H15" i="18"/>
  <c r="F15" i="18"/>
  <c r="D15" i="18"/>
  <c r="C15" i="18"/>
  <c r="VQ20" i="21" s="1"/>
  <c r="VN20" i="21" s="1"/>
  <c r="AN9" i="18"/>
  <c r="AL9" i="18"/>
  <c r="AJ9" i="18"/>
  <c r="AH9" i="18"/>
  <c r="AF9" i="18"/>
  <c r="AD9" i="18"/>
  <c r="AB9" i="18"/>
  <c r="Z9" i="18"/>
  <c r="X9" i="18"/>
  <c r="V9" i="18"/>
  <c r="T9" i="18"/>
  <c r="R9" i="18"/>
  <c r="P9" i="18"/>
  <c r="N9" i="18"/>
  <c r="L9" i="18"/>
  <c r="J9" i="18"/>
  <c r="H9" i="18"/>
  <c r="F9" i="18"/>
  <c r="D9" i="18"/>
  <c r="C9" i="18"/>
  <c r="AN14" i="18"/>
  <c r="AL14" i="18"/>
  <c r="AJ14" i="18"/>
  <c r="AH14" i="18"/>
  <c r="AF14" i="18"/>
  <c r="AD14" i="18"/>
  <c r="AB14" i="18"/>
  <c r="Z14" i="18"/>
  <c r="X14" i="18"/>
  <c r="V14" i="18"/>
  <c r="T14" i="18"/>
  <c r="R14" i="18"/>
  <c r="P14" i="18"/>
  <c r="N14" i="18"/>
  <c r="L14" i="18"/>
  <c r="J14" i="18"/>
  <c r="H14" i="18"/>
  <c r="F14" i="18"/>
  <c r="D14" i="18"/>
  <c r="C14" i="18"/>
  <c r="VQ19" i="21" s="1"/>
  <c r="VN19" i="21" s="1"/>
  <c r="AN13" i="18"/>
  <c r="AL13" i="18"/>
  <c r="AJ13" i="18"/>
  <c r="AH13" i="18"/>
  <c r="AF13" i="18"/>
  <c r="AD13" i="18"/>
  <c r="AB13" i="18"/>
  <c r="Z13" i="18"/>
  <c r="X13" i="18"/>
  <c r="V13" i="18"/>
  <c r="T13" i="18"/>
  <c r="R13" i="18"/>
  <c r="P13" i="18"/>
  <c r="N13" i="18"/>
  <c r="L13" i="18"/>
  <c r="J13" i="18"/>
  <c r="H13" i="18"/>
  <c r="F13" i="18"/>
  <c r="D13" i="18"/>
  <c r="C13" i="18"/>
  <c r="VQ18" i="21" s="1"/>
  <c r="VN18" i="21" s="1"/>
  <c r="AN12" i="18"/>
  <c r="AL12" i="18"/>
  <c r="AJ12" i="18"/>
  <c r="AH12" i="18"/>
  <c r="AF12" i="18"/>
  <c r="AD12" i="18"/>
  <c r="AB12" i="18"/>
  <c r="Z12" i="18"/>
  <c r="X12" i="18"/>
  <c r="V12" i="18"/>
  <c r="T12" i="18"/>
  <c r="R12" i="18"/>
  <c r="P12" i="18"/>
  <c r="N12" i="18"/>
  <c r="L12" i="18"/>
  <c r="J12" i="18"/>
  <c r="H12" i="18"/>
  <c r="F12" i="18"/>
  <c r="D12" i="18"/>
  <c r="C12" i="18"/>
  <c r="VQ17" i="21" s="1"/>
  <c r="VN17" i="21" s="1"/>
  <c r="AN8" i="18"/>
  <c r="AL8" i="18"/>
  <c r="AJ8" i="18"/>
  <c r="AH8" i="18"/>
  <c r="AF8" i="18"/>
  <c r="AD8" i="18"/>
  <c r="AB8" i="18"/>
  <c r="Z8" i="18"/>
  <c r="X8" i="18"/>
  <c r="V8" i="18"/>
  <c r="T8" i="18"/>
  <c r="R8" i="18"/>
  <c r="P8" i="18"/>
  <c r="N8" i="18"/>
  <c r="L8" i="18"/>
  <c r="J8" i="18"/>
  <c r="H8" i="18"/>
  <c r="F8" i="18"/>
  <c r="D8" i="18"/>
  <c r="C8" i="18"/>
  <c r="VQ13" i="21" s="1"/>
  <c r="G79" i="17"/>
  <c r="H78" i="17"/>
  <c r="L78" i="17"/>
  <c r="J78" i="17"/>
  <c r="E78" i="17"/>
  <c r="O77" i="17"/>
  <c r="H77" i="17" s="1"/>
  <c r="N77" i="17"/>
  <c r="F77" i="17" s="1"/>
  <c r="L77" i="17"/>
  <c r="K77" i="17"/>
  <c r="J77" i="17"/>
  <c r="I77" i="17"/>
  <c r="E77" i="17"/>
  <c r="D77" i="17"/>
  <c r="AR68" i="17"/>
  <c r="N68" i="17"/>
  <c r="AR67" i="17"/>
  <c r="N67" i="17"/>
  <c r="N66" i="17"/>
  <c r="AR64" i="17"/>
  <c r="N64" i="17"/>
  <c r="AR63" i="17"/>
  <c r="N63" i="17"/>
  <c r="AR60" i="17"/>
  <c r="N60" i="17"/>
  <c r="AR59" i="17"/>
  <c r="N59" i="17"/>
  <c r="AR58" i="17"/>
  <c r="N58" i="17"/>
  <c r="AR57" i="17"/>
  <c r="N57" i="17"/>
  <c r="AR56" i="17"/>
  <c r="N56" i="17"/>
  <c r="AR55" i="17"/>
  <c r="N55" i="17"/>
  <c r="AR54" i="17"/>
  <c r="N54" i="17"/>
  <c r="AR53" i="17"/>
  <c r="N53" i="17"/>
  <c r="AR52" i="17"/>
  <c r="N52" i="17"/>
  <c r="AR51" i="17"/>
  <c r="N51" i="17"/>
  <c r="AR50" i="17"/>
  <c r="N50" i="17"/>
  <c r="AR49" i="17"/>
  <c r="N49" i="17"/>
  <c r="AR48" i="17"/>
  <c r="N48" i="17"/>
  <c r="AR47" i="17"/>
  <c r="N47" i="17"/>
  <c r="AR46" i="17"/>
  <c r="N46" i="17"/>
  <c r="AR45" i="17"/>
  <c r="AR44" i="17"/>
  <c r="N44" i="17"/>
  <c r="BG41" i="17"/>
  <c r="BF41" i="17"/>
  <c r="AY41" i="17"/>
  <c r="AX41" i="17"/>
  <c r="AQ41" i="17"/>
  <c r="AA41" i="17"/>
  <c r="Z41" i="17"/>
  <c r="S41" i="17"/>
  <c r="R41" i="17"/>
  <c r="BG40" i="17"/>
  <c r="BC40" i="17"/>
  <c r="AW40" i="17"/>
  <c r="AQ40" i="17"/>
  <c r="AK40" i="17"/>
  <c r="AE40" i="17"/>
  <c r="AC40" i="17"/>
  <c r="Y40" i="17"/>
  <c r="S40" i="17"/>
  <c r="M40" i="17"/>
  <c r="G40" i="17"/>
  <c r="BI33" i="17"/>
  <c r="BH33" i="17"/>
  <c r="BH41" i="17" s="1"/>
  <c r="BG33" i="17"/>
  <c r="BF33" i="17"/>
  <c r="BE33" i="17"/>
  <c r="BE41" i="17" s="1"/>
  <c r="BD33" i="17"/>
  <c r="BD41" i="17" s="1"/>
  <c r="BC33" i="17"/>
  <c r="BB33" i="17"/>
  <c r="BB41" i="17" s="1"/>
  <c r="BA33" i="17"/>
  <c r="BA41" i="17" s="1"/>
  <c r="AZ33" i="17"/>
  <c r="AZ41" i="17" s="1"/>
  <c r="AY33" i="17"/>
  <c r="AX33" i="17"/>
  <c r="AW33" i="17"/>
  <c r="AW41" i="17" s="1"/>
  <c r="AV33" i="17"/>
  <c r="AV41" i="17" s="1"/>
  <c r="AU33" i="17"/>
  <c r="AU41" i="17" s="1"/>
  <c r="AT33" i="17"/>
  <c r="AT41" i="17" s="1"/>
  <c r="AS33" i="17"/>
  <c r="AS41" i="17" s="1"/>
  <c r="AR33" i="17"/>
  <c r="AR41" i="17" s="1"/>
  <c r="AQ33" i="17"/>
  <c r="AK33" i="17"/>
  <c r="AK41" i="17" s="1"/>
  <c r="AE33" i="17"/>
  <c r="AD33" i="17"/>
  <c r="AD41" i="17" s="1"/>
  <c r="AC33" i="17"/>
  <c r="AC41" i="17" s="1"/>
  <c r="AB33" i="17"/>
  <c r="AB41" i="17" s="1"/>
  <c r="AA33" i="17"/>
  <c r="Z33" i="17"/>
  <c r="Y33" i="17"/>
  <c r="Y41" i="17" s="1"/>
  <c r="X33" i="17"/>
  <c r="X41" i="17" s="1"/>
  <c r="W33" i="17"/>
  <c r="W41" i="17" s="1"/>
  <c r="V33" i="17"/>
  <c r="V41" i="17" s="1"/>
  <c r="U33" i="17"/>
  <c r="U41" i="17" s="1"/>
  <c r="T33" i="17"/>
  <c r="T41" i="17" s="1"/>
  <c r="S33" i="17"/>
  <c r="R33" i="17"/>
  <c r="Q33" i="17"/>
  <c r="Q41" i="17" s="1"/>
  <c r="P33" i="17"/>
  <c r="P41" i="17" s="1"/>
  <c r="O33" i="17"/>
  <c r="O41" i="17" s="1"/>
  <c r="N33" i="17"/>
  <c r="N41" i="17" s="1"/>
  <c r="G33" i="17"/>
  <c r="G41" i="17" s="1"/>
  <c r="AJ32" i="17"/>
  <c r="AG32" i="17"/>
  <c r="M32" i="17"/>
  <c r="F32" i="17"/>
  <c r="AJ31" i="17"/>
  <c r="AG31" i="17"/>
  <c r="M31" i="17"/>
  <c r="F31" i="17"/>
  <c r="BI29" i="17"/>
  <c r="BI36" i="17" s="1"/>
  <c r="BG29" i="17"/>
  <c r="BC29" i="17"/>
  <c r="AW29" i="17"/>
  <c r="AW39" i="17" s="1"/>
  <c r="AQ29" i="17"/>
  <c r="AK29" i="17"/>
  <c r="AE29" i="17"/>
  <c r="AC29" i="17"/>
  <c r="Y29" i="17"/>
  <c r="Y36" i="17" s="1"/>
  <c r="S29" i="17"/>
  <c r="M29" i="17"/>
  <c r="G29" i="17"/>
  <c r="G39" i="17" s="1"/>
  <c r="BH28" i="17"/>
  <c r="BE28" i="17"/>
  <c r="AV28" i="17"/>
  <c r="AS28" i="17"/>
  <c r="AJ28" i="17"/>
  <c r="AG28" i="17"/>
  <c r="AD28" i="17"/>
  <c r="AA28" i="17"/>
  <c r="R28" i="17"/>
  <c r="Q28" i="17"/>
  <c r="F28" i="17"/>
  <c r="BH27" i="17"/>
  <c r="BE27" i="17"/>
  <c r="AV27" i="17"/>
  <c r="AS27" i="17"/>
  <c r="AJ27" i="17"/>
  <c r="AG27" i="17"/>
  <c r="AD27" i="17"/>
  <c r="AA27" i="17"/>
  <c r="R27" i="17"/>
  <c r="Q27" i="17"/>
  <c r="O27" i="17"/>
  <c r="F27" i="17"/>
  <c r="C27" i="17"/>
  <c r="BH26" i="17"/>
  <c r="BE26" i="17"/>
  <c r="AV26" i="17"/>
  <c r="AS26" i="17"/>
  <c r="AJ26" i="17"/>
  <c r="AG26" i="17"/>
  <c r="AD26" i="17"/>
  <c r="AA26" i="17"/>
  <c r="R26" i="17"/>
  <c r="Q26" i="17"/>
  <c r="F26" i="17"/>
  <c r="BH25" i="17"/>
  <c r="BE25" i="17"/>
  <c r="AV25" i="17"/>
  <c r="AS25" i="17"/>
  <c r="AJ25" i="17"/>
  <c r="AG25" i="17"/>
  <c r="AD25" i="17"/>
  <c r="AA25" i="17"/>
  <c r="R25" i="17"/>
  <c r="Q25" i="17"/>
  <c r="F25" i="17"/>
  <c r="BH24" i="17"/>
  <c r="BE24" i="17"/>
  <c r="AV24" i="17"/>
  <c r="AU24" i="17"/>
  <c r="AS24" i="17"/>
  <c r="AJ24" i="17"/>
  <c r="AG24" i="17"/>
  <c r="AD24" i="17"/>
  <c r="AA24" i="17"/>
  <c r="R24" i="17"/>
  <c r="Q24" i="17"/>
  <c r="O24" i="17"/>
  <c r="F24" i="17"/>
  <c r="C24" i="17"/>
  <c r="BH23" i="17"/>
  <c r="BE23" i="17"/>
  <c r="AV23" i="17"/>
  <c r="AS23" i="17"/>
  <c r="AJ23" i="17"/>
  <c r="AG23" i="17"/>
  <c r="AD23" i="17"/>
  <c r="AA23" i="17"/>
  <c r="R23" i="17"/>
  <c r="Q23" i="17"/>
  <c r="O23" i="17"/>
  <c r="F23" i="17"/>
  <c r="BH22" i="17"/>
  <c r="BE22" i="17"/>
  <c r="AV22" i="17"/>
  <c r="AS22" i="17"/>
  <c r="AJ22" i="17"/>
  <c r="AG22" i="17"/>
  <c r="AD22" i="17"/>
  <c r="AA22" i="17"/>
  <c r="R22" i="17"/>
  <c r="Q22" i="17"/>
  <c r="O22" i="17"/>
  <c r="F22" i="17"/>
  <c r="C22" i="17"/>
  <c r="BH21" i="17"/>
  <c r="BE21" i="17"/>
  <c r="AV21" i="17"/>
  <c r="AS21" i="17"/>
  <c r="AJ21" i="17"/>
  <c r="AG21" i="17"/>
  <c r="AD21" i="17"/>
  <c r="AA21" i="17"/>
  <c r="R21" i="17"/>
  <c r="Q21" i="17"/>
  <c r="F21" i="17"/>
  <c r="BH20" i="17"/>
  <c r="BE20" i="17"/>
  <c r="AV20" i="17"/>
  <c r="AS20" i="17"/>
  <c r="AJ20" i="17"/>
  <c r="AG20" i="17"/>
  <c r="AD20" i="17"/>
  <c r="AA20" i="17"/>
  <c r="R20" i="17"/>
  <c r="Q20" i="17"/>
  <c r="O20" i="17"/>
  <c r="F20" i="17"/>
  <c r="C20" i="17"/>
  <c r="BH19" i="17"/>
  <c r="BE19" i="17"/>
  <c r="AV19" i="17"/>
  <c r="AU19" i="17"/>
  <c r="AS19" i="17"/>
  <c r="AJ19" i="17"/>
  <c r="AG19" i="17"/>
  <c r="AD19" i="17"/>
  <c r="AA19" i="17"/>
  <c r="R19" i="17"/>
  <c r="Q19" i="17"/>
  <c r="O19" i="17"/>
  <c r="F19" i="17"/>
  <c r="C19" i="17"/>
  <c r="BH18" i="17"/>
  <c r="BE18" i="17"/>
  <c r="AV18" i="17"/>
  <c r="AS18" i="17"/>
  <c r="AJ18" i="17"/>
  <c r="AG18" i="17"/>
  <c r="AD18" i="17"/>
  <c r="AA18" i="17"/>
  <c r="R18" i="17"/>
  <c r="Q18" i="17"/>
  <c r="O18" i="17"/>
  <c r="F18" i="17"/>
  <c r="BH17" i="17"/>
  <c r="BE17" i="17"/>
  <c r="AV17" i="17"/>
  <c r="AS17" i="17"/>
  <c r="AJ17" i="17"/>
  <c r="AG17" i="17"/>
  <c r="AD17" i="17"/>
  <c r="AA17" i="17"/>
  <c r="R17" i="17"/>
  <c r="Q17" i="17"/>
  <c r="F17" i="17"/>
  <c r="BH16" i="17"/>
  <c r="BE16" i="17"/>
  <c r="AV16" i="17"/>
  <c r="AS16" i="17"/>
  <c r="AJ16" i="17"/>
  <c r="AG16" i="17"/>
  <c r="AD16" i="17"/>
  <c r="AA16" i="17"/>
  <c r="R16" i="17"/>
  <c r="Q16" i="17"/>
  <c r="O16" i="17"/>
  <c r="F16" i="17"/>
  <c r="C16" i="17"/>
  <c r="BH15" i="17"/>
  <c r="BE15" i="17"/>
  <c r="AV15" i="17"/>
  <c r="AU15" i="17"/>
  <c r="AS15" i="17"/>
  <c r="AJ15" i="17"/>
  <c r="AG15" i="17"/>
  <c r="AD15" i="17"/>
  <c r="AA15" i="17"/>
  <c r="R15" i="17"/>
  <c r="Q15" i="17"/>
  <c r="O15" i="17"/>
  <c r="F15" i="17"/>
  <c r="BH14" i="17"/>
  <c r="BE14" i="17"/>
  <c r="AV14" i="17"/>
  <c r="AS14" i="17"/>
  <c r="AJ14" i="17"/>
  <c r="AG14" i="17"/>
  <c r="AD14" i="17"/>
  <c r="AA14" i="17"/>
  <c r="R14" i="17"/>
  <c r="Q14" i="17"/>
  <c r="F14" i="17"/>
  <c r="BH13" i="17"/>
  <c r="BE13" i="17"/>
  <c r="AV13" i="17"/>
  <c r="AS13" i="17"/>
  <c r="AJ13" i="17"/>
  <c r="AG13" i="17"/>
  <c r="AD13" i="17"/>
  <c r="R13" i="17"/>
  <c r="Q13" i="17"/>
  <c r="F13" i="17"/>
  <c r="BH12" i="17"/>
  <c r="BE12" i="17"/>
  <c r="AV12" i="17"/>
  <c r="AS12" i="17"/>
  <c r="AJ12" i="17"/>
  <c r="AG12" i="17"/>
  <c r="AD12" i="17"/>
  <c r="AA12" i="17"/>
  <c r="R12" i="17"/>
  <c r="Q12" i="17"/>
  <c r="F12" i="17"/>
  <c r="BH11" i="17"/>
  <c r="BE11" i="17"/>
  <c r="AV11" i="17"/>
  <c r="AU11" i="17"/>
  <c r="AS11" i="17"/>
  <c r="AJ11" i="17"/>
  <c r="AG11" i="17"/>
  <c r="AD11" i="17"/>
  <c r="AA11" i="17"/>
  <c r="R11" i="17"/>
  <c r="Q11" i="17"/>
  <c r="O11" i="17"/>
  <c r="F11" i="17"/>
  <c r="C11" i="17"/>
  <c r="E3" i="17"/>
  <c r="F2" i="19" s="1"/>
  <c r="I2" i="20" s="1"/>
  <c r="DH35" i="16"/>
  <c r="DG35" i="16"/>
  <c r="DH34" i="16"/>
  <c r="DG34" i="16"/>
  <c r="DE32" i="16"/>
  <c r="DD32" i="16"/>
  <c r="DC32" i="16"/>
  <c r="DB32" i="16"/>
  <c r="DA32" i="16"/>
  <c r="CZ32" i="16"/>
  <c r="CW32" i="16"/>
  <c r="CV32" i="16"/>
  <c r="CU32" i="16"/>
  <c r="CT32" i="16"/>
  <c r="CS32" i="16"/>
  <c r="CR32" i="16"/>
  <c r="CQ32" i="16"/>
  <c r="CP32" i="16"/>
  <c r="CO32" i="16"/>
  <c r="CN32" i="16"/>
  <c r="CM32" i="16"/>
  <c r="CL32" i="16"/>
  <c r="CK32" i="16"/>
  <c r="CJ32" i="16"/>
  <c r="CG32" i="16"/>
  <c r="LA31" i="5" s="1"/>
  <c r="LB31" i="5" s="1"/>
  <c r="CF32" i="16"/>
  <c r="KW31" i="5" s="1"/>
  <c r="KX31" i="5" s="1"/>
  <c r="CE32" i="16"/>
  <c r="KS31" i="5" s="1"/>
  <c r="CD32" i="16"/>
  <c r="KO31" i="5" s="1"/>
  <c r="CC32" i="16"/>
  <c r="KK31" i="5" s="1"/>
  <c r="KL31" i="5" s="1"/>
  <c r="CB32" i="16"/>
  <c r="KG31" i="5" s="1"/>
  <c r="KH31" i="5" s="1"/>
  <c r="CA32" i="16"/>
  <c r="KC31" i="5" s="1"/>
  <c r="KD31" i="5" s="1"/>
  <c r="BZ32" i="16"/>
  <c r="JY31" i="5" s="1"/>
  <c r="JZ31" i="5" s="1"/>
  <c r="BY32" i="16"/>
  <c r="JU31" i="5" s="1"/>
  <c r="JV31" i="5" s="1"/>
  <c r="BX32" i="16"/>
  <c r="JQ31" i="5" s="1"/>
  <c r="JR31" i="5" s="1"/>
  <c r="BW32" i="16"/>
  <c r="JM31" i="5" s="1"/>
  <c r="JN31" i="5" s="1"/>
  <c r="BV32" i="16"/>
  <c r="JI31" i="5" s="1"/>
  <c r="BU32" i="16"/>
  <c r="BT32" i="16"/>
  <c r="JA31" i="5" s="1"/>
  <c r="BS32" i="16"/>
  <c r="IW31" i="5" s="1"/>
  <c r="IX31" i="5" s="1"/>
  <c r="BR32" i="16"/>
  <c r="IS31" i="5" s="1"/>
  <c r="IT31" i="5" s="1"/>
  <c r="BO32" i="16"/>
  <c r="IO31" i="5" s="1"/>
  <c r="IP31" i="5" s="1"/>
  <c r="BN32" i="16"/>
  <c r="IK31" i="5" s="1"/>
  <c r="IL31" i="5" s="1"/>
  <c r="BM32" i="16"/>
  <c r="IG31" i="5" s="1"/>
  <c r="IH31" i="5" s="1"/>
  <c r="BL32" i="16"/>
  <c r="IC31" i="5" s="1"/>
  <c r="ID31" i="5" s="1"/>
  <c r="BK32" i="16"/>
  <c r="HY31" i="5" s="1"/>
  <c r="HZ31" i="5" s="1"/>
  <c r="BJ32" i="16"/>
  <c r="HU31" i="5" s="1"/>
  <c r="HV31" i="5" s="1"/>
  <c r="BI32" i="16"/>
  <c r="HQ31" i="5" s="1"/>
  <c r="HR31" i="5" s="1"/>
  <c r="BH32" i="16"/>
  <c r="HM31" i="5" s="1"/>
  <c r="HN31" i="5" s="1"/>
  <c r="BG32" i="16"/>
  <c r="BF32" i="16"/>
  <c r="HE31" i="5" s="1"/>
  <c r="HF31" i="5" s="1"/>
  <c r="BE32" i="16"/>
  <c r="HA31" i="5" s="1"/>
  <c r="HB31" i="5" s="1"/>
  <c r="BD32" i="16"/>
  <c r="GW31" i="5" s="1"/>
  <c r="GX31" i="5" s="1"/>
  <c r="BC32" i="16"/>
  <c r="GS31" i="5" s="1"/>
  <c r="GT31" i="5" s="1"/>
  <c r="BB32" i="16"/>
  <c r="GO31" i="5" s="1"/>
  <c r="GP31" i="5" s="1"/>
  <c r="BA32" i="16"/>
  <c r="GK31" i="5" s="1"/>
  <c r="GL31" i="5" s="1"/>
  <c r="AZ32" i="16"/>
  <c r="GG31" i="5" s="1"/>
  <c r="GH31" i="5" s="1"/>
  <c r="AY32" i="16"/>
  <c r="GC31" i="5" s="1"/>
  <c r="GE31" i="5" s="1"/>
  <c r="AX32" i="16"/>
  <c r="FY31" i="5" s="1"/>
  <c r="GA31" i="5" s="1"/>
  <c r="AW32" i="16"/>
  <c r="FU31" i="5" s="1"/>
  <c r="FV31" i="5" s="1"/>
  <c r="AV32" i="16"/>
  <c r="FQ31" i="5" s="1"/>
  <c r="FR31" i="5" s="1"/>
  <c r="AU32" i="16"/>
  <c r="FM31" i="5" s="1"/>
  <c r="FN31" i="5" s="1"/>
  <c r="AT32" i="16"/>
  <c r="FI31" i="5" s="1"/>
  <c r="FJ31" i="5" s="1"/>
  <c r="AS32" i="16"/>
  <c r="FE31" i="5" s="1"/>
  <c r="FF31" i="5" s="1"/>
  <c r="AR32" i="16"/>
  <c r="FA31" i="5" s="1"/>
  <c r="FB31" i="5" s="1"/>
  <c r="EW31" i="5"/>
  <c r="EX31" i="5" s="1"/>
  <c r="ES31" i="5"/>
  <c r="ET31" i="5" s="1"/>
  <c r="AO32" i="16"/>
  <c r="AN32" i="16"/>
  <c r="AM32" i="16"/>
  <c r="EG31" i="5" s="1"/>
  <c r="EH31" i="5" s="1"/>
  <c r="AL32" i="16"/>
  <c r="EC31" i="5" s="1"/>
  <c r="ED31" i="5" s="1"/>
  <c r="AK32" i="16"/>
  <c r="DY31" i="5" s="1"/>
  <c r="DZ31" i="5" s="1"/>
  <c r="AJ32" i="16"/>
  <c r="DU31" i="5" s="1"/>
  <c r="DV31" i="5" s="1"/>
  <c r="AG32" i="16"/>
  <c r="DI31" i="5" s="1"/>
  <c r="DJ31" i="5" s="1"/>
  <c r="AF32" i="16"/>
  <c r="DE31" i="5" s="1"/>
  <c r="DF31" i="5" s="1"/>
  <c r="AE32" i="16"/>
  <c r="DA31" i="5" s="1"/>
  <c r="DB31" i="5" s="1"/>
  <c r="AD32" i="16"/>
  <c r="CW31" i="5" s="1"/>
  <c r="CX31" i="5" s="1"/>
  <c r="AC32" i="16"/>
  <c r="CS31" i="5" s="1"/>
  <c r="CT31" i="5" s="1"/>
  <c r="AB32" i="16"/>
  <c r="CO31" i="5" s="1"/>
  <c r="CP31" i="5" s="1"/>
  <c r="AA32" i="16"/>
  <c r="Z32" i="16"/>
  <c r="CG31" i="5" s="1"/>
  <c r="CH31" i="5" s="1"/>
  <c r="Y32" i="16"/>
  <c r="CC31" i="5" s="1"/>
  <c r="CD31" i="5" s="1"/>
  <c r="X32" i="16"/>
  <c r="BY31" i="5" s="1"/>
  <c r="BZ31" i="5" s="1"/>
  <c r="W32" i="16"/>
  <c r="BU31" i="5" s="1"/>
  <c r="BV31" i="5" s="1"/>
  <c r="V32" i="16"/>
  <c r="U32" i="16"/>
  <c r="T32" i="16"/>
  <c r="BI31" i="5" s="1"/>
  <c r="BJ31" i="5" s="1"/>
  <c r="S32" i="16"/>
  <c r="BE31" i="5" s="1"/>
  <c r="BF31" i="5" s="1"/>
  <c r="R32" i="16"/>
  <c r="BA31" i="5" s="1"/>
  <c r="BB31" i="5" s="1"/>
  <c r="Q32" i="16"/>
  <c r="P32" i="16"/>
  <c r="AS31" i="5" s="1"/>
  <c r="AT31" i="5" s="1"/>
  <c r="AO31" i="5"/>
  <c r="AP31" i="5" s="1"/>
  <c r="AK31" i="5"/>
  <c r="AL31" i="5" s="1"/>
  <c r="G32" i="16"/>
  <c r="F32" i="16"/>
  <c r="DE31" i="16"/>
  <c r="DD31" i="16"/>
  <c r="DC31" i="16"/>
  <c r="DB31" i="16"/>
  <c r="DA31" i="16"/>
  <c r="CZ31" i="16"/>
  <c r="CW31" i="16"/>
  <c r="CV31" i="16"/>
  <c r="CU31" i="16"/>
  <c r="CT31" i="16"/>
  <c r="CS31" i="16"/>
  <c r="CR31" i="16"/>
  <c r="CQ31" i="16"/>
  <c r="CP31" i="16"/>
  <c r="CO31" i="16"/>
  <c r="CN31" i="16"/>
  <c r="CM31" i="16"/>
  <c r="CL31" i="16"/>
  <c r="CK31" i="16"/>
  <c r="CJ31" i="16"/>
  <c r="CG31" i="16"/>
  <c r="LA30" i="5" s="1"/>
  <c r="CF31" i="16"/>
  <c r="KW30" i="5" s="1"/>
  <c r="CE31" i="16"/>
  <c r="KS30" i="5" s="1"/>
  <c r="CD31" i="16"/>
  <c r="KO30" i="5" s="1"/>
  <c r="CC31" i="16"/>
  <c r="CB31" i="16"/>
  <c r="KG30" i="5" s="1"/>
  <c r="CA31" i="16"/>
  <c r="KC30" i="5" s="1"/>
  <c r="BZ31" i="16"/>
  <c r="BY31" i="16"/>
  <c r="JU30" i="5" s="1"/>
  <c r="JV30" i="5" s="1"/>
  <c r="BX31" i="16"/>
  <c r="JQ30" i="5" s="1"/>
  <c r="BW31" i="16"/>
  <c r="BV31" i="16"/>
  <c r="JI30" i="5" s="1"/>
  <c r="JJ30" i="5" s="1"/>
  <c r="BU31" i="16"/>
  <c r="BT31" i="16"/>
  <c r="JA30" i="5" s="1"/>
  <c r="BS31" i="16"/>
  <c r="IW30" i="5" s="1"/>
  <c r="IX30" i="5" s="1"/>
  <c r="BR31" i="16"/>
  <c r="BO31" i="16"/>
  <c r="IO30" i="5" s="1"/>
  <c r="BN31" i="16"/>
  <c r="IK30" i="5" s="1"/>
  <c r="IL30" i="5" s="1"/>
  <c r="BM31" i="16"/>
  <c r="IG30" i="5" s="1"/>
  <c r="IH30" i="5" s="1"/>
  <c r="BL31" i="16"/>
  <c r="IC30" i="5" s="1"/>
  <c r="BK31" i="16"/>
  <c r="BJ31" i="16"/>
  <c r="HU30" i="5" s="1"/>
  <c r="HV30" i="5" s="1"/>
  <c r="BI31" i="16"/>
  <c r="HQ30" i="5" s="1"/>
  <c r="BH31" i="16"/>
  <c r="BG31" i="16"/>
  <c r="HI30" i="5" s="1"/>
  <c r="BF31" i="16"/>
  <c r="HE30" i="5" s="1"/>
  <c r="HF30" i="5" s="1"/>
  <c r="BE31" i="16"/>
  <c r="HA30" i="5" s="1"/>
  <c r="HB30" i="5" s="1"/>
  <c r="BD31" i="16"/>
  <c r="GW30" i="5" s="1"/>
  <c r="BC31" i="16"/>
  <c r="BB31" i="16"/>
  <c r="GO30" i="5" s="1"/>
  <c r="BA31" i="16"/>
  <c r="GK30" i="5" s="1"/>
  <c r="GL30" i="5" s="1"/>
  <c r="AZ31" i="16"/>
  <c r="AY31" i="16"/>
  <c r="GC30" i="5" s="1"/>
  <c r="AX31" i="16"/>
  <c r="FY30" i="5" s="1"/>
  <c r="AW31" i="16"/>
  <c r="EO30" i="5" s="1"/>
  <c r="EP30" i="5" s="1"/>
  <c r="AV31" i="16"/>
  <c r="FQ30" i="5" s="1"/>
  <c r="AU31" i="16"/>
  <c r="O31" i="16" s="1"/>
  <c r="AT31" i="16"/>
  <c r="FI30" i="5" s="1"/>
  <c r="AS31" i="16"/>
  <c r="FE30" i="5" s="1"/>
  <c r="AR31" i="16"/>
  <c r="EW30" i="5"/>
  <c r="EX30" i="5" s="1"/>
  <c r="ES30" i="5"/>
  <c r="ET30" i="5" s="1"/>
  <c r="AO31" i="16"/>
  <c r="AN31" i="16"/>
  <c r="AM31" i="16"/>
  <c r="AL31" i="16"/>
  <c r="EC30" i="5" s="1"/>
  <c r="AK31" i="16"/>
  <c r="DY30" i="5" s="1"/>
  <c r="DZ30" i="5" s="1"/>
  <c r="AJ31" i="16"/>
  <c r="DQ30" i="5"/>
  <c r="AG31" i="16"/>
  <c r="DI30" i="5" s="1"/>
  <c r="AF31" i="16"/>
  <c r="DE30" i="5" s="1"/>
  <c r="AE31" i="16"/>
  <c r="AD31" i="16"/>
  <c r="CW30" i="5" s="1"/>
  <c r="AC31" i="16"/>
  <c r="CS30" i="5" s="1"/>
  <c r="AB31" i="16"/>
  <c r="AA31" i="16"/>
  <c r="CK30" i="5" s="1"/>
  <c r="Z31" i="16"/>
  <c r="CG30" i="5" s="1"/>
  <c r="CH30" i="5" s="1"/>
  <c r="Y31" i="16"/>
  <c r="X31" i="16"/>
  <c r="BY30" i="5" s="1"/>
  <c r="W31" i="16"/>
  <c r="BU30" i="5" s="1"/>
  <c r="V31" i="16"/>
  <c r="U31" i="16"/>
  <c r="BM30" i="5" s="1"/>
  <c r="BN30" i="5" s="1"/>
  <c r="T31" i="16"/>
  <c r="S31" i="16"/>
  <c r="BE30" i="5" s="1"/>
  <c r="R31" i="16"/>
  <c r="BA30" i="5" s="1"/>
  <c r="Q31" i="16"/>
  <c r="P31" i="16"/>
  <c r="AS30" i="5" s="1"/>
  <c r="AK30" i="5"/>
  <c r="G31" i="16"/>
  <c r="E31" i="16" s="1"/>
  <c r="F31" i="16"/>
  <c r="D31" i="16" s="1"/>
  <c r="DH30" i="16"/>
  <c r="DG30" i="16"/>
  <c r="DE28" i="16"/>
  <c r="DD28" i="16"/>
  <c r="DC28" i="16"/>
  <c r="DB28" i="16"/>
  <c r="DA28" i="16"/>
  <c r="CZ28" i="16"/>
  <c r="CW28" i="16"/>
  <c r="CV28" i="16"/>
  <c r="CU28" i="16"/>
  <c r="CT28" i="16"/>
  <c r="CS28" i="16"/>
  <c r="CR28" i="16"/>
  <c r="CQ28" i="16"/>
  <c r="CP28" i="16"/>
  <c r="CO28" i="16"/>
  <c r="CN28" i="16"/>
  <c r="CM28" i="16"/>
  <c r="CL28" i="16"/>
  <c r="CJ28" i="16"/>
  <c r="CG28" i="16"/>
  <c r="LA27" i="5" s="1"/>
  <c r="CF28" i="16"/>
  <c r="KW27" i="5" s="1"/>
  <c r="CE28" i="16"/>
  <c r="KS27" i="5" s="1"/>
  <c r="CD28" i="16"/>
  <c r="KO27" i="5" s="1"/>
  <c r="CC28" i="16"/>
  <c r="KK27" i="5" s="1"/>
  <c r="CB28" i="16"/>
  <c r="KG27" i="5" s="1"/>
  <c r="CA28" i="16"/>
  <c r="KC27" i="5" s="1"/>
  <c r="KD27" i="5" s="1"/>
  <c r="BZ28" i="16"/>
  <c r="JY27" i="5" s="1"/>
  <c r="JZ27" i="5" s="1"/>
  <c r="BY28" i="16"/>
  <c r="JU27" i="5" s="1"/>
  <c r="JV27" i="5" s="1"/>
  <c r="BX28" i="16"/>
  <c r="JQ27" i="5" s="1"/>
  <c r="JR27" i="5" s="1"/>
  <c r="BW28" i="16"/>
  <c r="JM27" i="5" s="1"/>
  <c r="JN27" i="5" s="1"/>
  <c r="BV28" i="16"/>
  <c r="JI27" i="5" s="1"/>
  <c r="JJ27" i="5" s="1"/>
  <c r="BU28" i="16"/>
  <c r="JE27" i="5" s="1"/>
  <c r="BT28" i="16"/>
  <c r="JA27" i="5" s="1"/>
  <c r="BS28" i="16"/>
  <c r="IW27" i="5" s="1"/>
  <c r="IX27" i="5" s="1"/>
  <c r="BR28" i="16"/>
  <c r="IS27" i="5" s="1"/>
  <c r="IT27" i="5" s="1"/>
  <c r="BO28" i="16"/>
  <c r="IO27" i="5" s="1"/>
  <c r="BN28" i="16"/>
  <c r="IK27" i="5" s="1"/>
  <c r="BM28" i="16"/>
  <c r="IG27" i="5" s="1"/>
  <c r="BL28" i="16"/>
  <c r="IC27" i="5" s="1"/>
  <c r="BK28" i="16"/>
  <c r="HY27" i="5" s="1"/>
  <c r="HZ27" i="5" s="1"/>
  <c r="BJ28" i="16"/>
  <c r="HU27" i="5" s="1"/>
  <c r="HV27" i="5" s="1"/>
  <c r="BI28" i="16"/>
  <c r="HQ27" i="5" s="1"/>
  <c r="BH28" i="16"/>
  <c r="HM27" i="5" s="1"/>
  <c r="BG28" i="16"/>
  <c r="HI27" i="5" s="1"/>
  <c r="HJ27" i="5" s="1"/>
  <c r="BF28" i="16"/>
  <c r="HE27" i="5" s="1"/>
  <c r="HF27" i="5" s="1"/>
  <c r="BE28" i="16"/>
  <c r="HA27" i="5" s="1"/>
  <c r="HB27" i="5" s="1"/>
  <c r="BD28" i="16"/>
  <c r="GW27" i="5" s="1"/>
  <c r="GX27" i="5" s="1"/>
  <c r="BC28" i="16"/>
  <c r="GS27" i="5" s="1"/>
  <c r="BB28" i="16"/>
  <c r="GO27" i="5" s="1"/>
  <c r="BA28" i="16"/>
  <c r="GK27" i="5" s="1"/>
  <c r="GL27" i="5" s="1"/>
  <c r="AZ28" i="16"/>
  <c r="GG27" i="5" s="1"/>
  <c r="GH27" i="5" s="1"/>
  <c r="AY28" i="16"/>
  <c r="GC27" i="5" s="1"/>
  <c r="GE27" i="5" s="1"/>
  <c r="AX28" i="16"/>
  <c r="FY27" i="5" s="1"/>
  <c r="GA27" i="5" s="1"/>
  <c r="AW28" i="16"/>
  <c r="FU27" i="5" s="1"/>
  <c r="AV28" i="16"/>
  <c r="FQ27" i="5" s="1"/>
  <c r="AU28" i="16"/>
  <c r="FM27" i="5" s="1"/>
  <c r="AT28" i="16"/>
  <c r="FI27" i="5" s="1"/>
  <c r="AS28" i="16"/>
  <c r="FE27" i="5" s="1"/>
  <c r="FF27" i="5" s="1"/>
  <c r="AR28" i="16"/>
  <c r="FA27" i="5" s="1"/>
  <c r="FB27" i="5" s="1"/>
  <c r="AO28" i="16"/>
  <c r="EO27" i="5" s="1"/>
  <c r="ER27" i="5" s="1"/>
  <c r="AN28" i="16"/>
  <c r="EK27" i="5" s="1"/>
  <c r="EN27" i="5" s="1"/>
  <c r="AM28" i="16"/>
  <c r="EG27" i="5" s="1"/>
  <c r="EH27" i="5" s="1"/>
  <c r="AL28" i="16"/>
  <c r="EC27" i="5" s="1"/>
  <c r="ED27" i="5" s="1"/>
  <c r="AK28" i="16"/>
  <c r="AJ28" i="16"/>
  <c r="DU27" i="5" s="1"/>
  <c r="DV27" i="5" s="1"/>
  <c r="DM27" i="5"/>
  <c r="DN27" i="5" s="1"/>
  <c r="AG28" i="16"/>
  <c r="AF28" i="16"/>
  <c r="DE27" i="5" s="1"/>
  <c r="DF27" i="5" s="1"/>
  <c r="AE28" i="16"/>
  <c r="AD28" i="16"/>
  <c r="CW27" i="5" s="1"/>
  <c r="AC28" i="16"/>
  <c r="CS27" i="5" s="1"/>
  <c r="CT27" i="5" s="1"/>
  <c r="AB28" i="16"/>
  <c r="CO27" i="5" s="1"/>
  <c r="CP27" i="5" s="1"/>
  <c r="AA28" i="16"/>
  <c r="Z28" i="16"/>
  <c r="CG27" i="5" s="1"/>
  <c r="CH27" i="5" s="1"/>
  <c r="Y28" i="16"/>
  <c r="X28" i="16"/>
  <c r="BY27" i="5" s="1"/>
  <c r="BZ27" i="5" s="1"/>
  <c r="W28" i="16"/>
  <c r="BU27" i="5" s="1"/>
  <c r="BV27" i="5" s="1"/>
  <c r="V28" i="16"/>
  <c r="U28" i="16"/>
  <c r="BM27" i="5" s="1"/>
  <c r="BN27" i="5" s="1"/>
  <c r="T28" i="16"/>
  <c r="BI27" i="5" s="1"/>
  <c r="BJ27" i="5" s="1"/>
  <c r="S28" i="16"/>
  <c r="R28" i="16"/>
  <c r="BA27" i="5" s="1"/>
  <c r="Q28" i="16"/>
  <c r="AW27" i="5" s="1"/>
  <c r="P28" i="16"/>
  <c r="AS27" i="5" s="1"/>
  <c r="AK27" i="5"/>
  <c r="AL27" i="5" s="1"/>
  <c r="G28" i="16"/>
  <c r="F28" i="16"/>
  <c r="DE27" i="16"/>
  <c r="DD27" i="16"/>
  <c r="DC27" i="16"/>
  <c r="DB27" i="16"/>
  <c r="DA27" i="16"/>
  <c r="CZ27" i="16"/>
  <c r="CW27" i="16"/>
  <c r="CV27" i="16"/>
  <c r="CU27" i="16"/>
  <c r="CT27" i="16"/>
  <c r="CS27" i="16"/>
  <c r="CR27" i="16"/>
  <c r="CQ27" i="16"/>
  <c r="CP27" i="16"/>
  <c r="CO27" i="16"/>
  <c r="CN27" i="16"/>
  <c r="CM27" i="16"/>
  <c r="CL27" i="16"/>
  <c r="CJ27" i="16"/>
  <c r="CG27" i="16"/>
  <c r="LA26" i="5" s="1"/>
  <c r="CF27" i="16"/>
  <c r="KW26" i="5" s="1"/>
  <c r="CE27" i="16"/>
  <c r="KS26" i="5" s="1"/>
  <c r="CD27" i="16"/>
  <c r="KO26" i="5" s="1"/>
  <c r="CC27" i="16"/>
  <c r="KK26" i="5" s="1"/>
  <c r="CB27" i="16"/>
  <c r="KG26" i="5" s="1"/>
  <c r="CA27" i="16"/>
  <c r="BZ27" i="16"/>
  <c r="JY26" i="5" s="1"/>
  <c r="JZ26" i="5" s="1"/>
  <c r="BY27" i="16"/>
  <c r="JU26" i="5" s="1"/>
  <c r="JV26" i="5" s="1"/>
  <c r="BX27" i="16"/>
  <c r="JQ26" i="5" s="1"/>
  <c r="JR26" i="5" s="1"/>
  <c r="BW27" i="16"/>
  <c r="JM26" i="5" s="1"/>
  <c r="JN26" i="5" s="1"/>
  <c r="BV27" i="16"/>
  <c r="JI26" i="5" s="1"/>
  <c r="JJ26" i="5" s="1"/>
  <c r="BU27" i="16"/>
  <c r="JE26" i="5" s="1"/>
  <c r="BT27" i="16"/>
  <c r="JA26" i="5" s="1"/>
  <c r="BS27" i="16"/>
  <c r="BR27" i="16"/>
  <c r="IS26" i="5" s="1"/>
  <c r="IT26" i="5" s="1"/>
  <c r="BO27" i="16"/>
  <c r="IO26" i="5" s="1"/>
  <c r="BN27" i="16"/>
  <c r="IK26" i="5" s="1"/>
  <c r="BM27" i="16"/>
  <c r="IG26" i="5" s="1"/>
  <c r="BL27" i="16"/>
  <c r="IC26" i="5" s="1"/>
  <c r="BK27" i="16"/>
  <c r="BJ27" i="16"/>
  <c r="HU26" i="5" s="1"/>
  <c r="HV26" i="5" s="1"/>
  <c r="BI27" i="16"/>
  <c r="O27" i="16" s="1"/>
  <c r="BH27" i="16"/>
  <c r="HM26" i="5" s="1"/>
  <c r="BG27" i="16"/>
  <c r="HI26" i="5" s="1"/>
  <c r="HJ26" i="5" s="1"/>
  <c r="BF27" i="16"/>
  <c r="HE26" i="5" s="1"/>
  <c r="HF26" i="5" s="1"/>
  <c r="BE27" i="16"/>
  <c r="HA26" i="5" s="1"/>
  <c r="HB26" i="5" s="1"/>
  <c r="BD27" i="16"/>
  <c r="GW26" i="5" s="1"/>
  <c r="GX26" i="5" s="1"/>
  <c r="BC27" i="16"/>
  <c r="GS26" i="5" s="1"/>
  <c r="BB27" i="16"/>
  <c r="GO26" i="5" s="1"/>
  <c r="BA27" i="16"/>
  <c r="AZ27" i="16"/>
  <c r="GG26" i="5" s="1"/>
  <c r="GH26" i="5" s="1"/>
  <c r="AY27" i="16"/>
  <c r="GC26" i="5" s="1"/>
  <c r="GE26" i="5" s="1"/>
  <c r="AX27" i="16"/>
  <c r="FY26" i="5" s="1"/>
  <c r="GA26" i="5" s="1"/>
  <c r="AW27" i="16"/>
  <c r="FU26" i="5" s="1"/>
  <c r="AV27" i="16"/>
  <c r="FQ26" i="5" s="1"/>
  <c r="AU27" i="16"/>
  <c r="FM26" i="5" s="1"/>
  <c r="AT27" i="16"/>
  <c r="FI26" i="5" s="1"/>
  <c r="AS27" i="16"/>
  <c r="AR27" i="16"/>
  <c r="FA26" i="5" s="1"/>
  <c r="FB26" i="5" s="1"/>
  <c r="AO27" i="16"/>
  <c r="AN27" i="16"/>
  <c r="EK26" i="5" s="1"/>
  <c r="EN26" i="5" s="1"/>
  <c r="AM27" i="16"/>
  <c r="EG26" i="5" s="1"/>
  <c r="EH26" i="5" s="1"/>
  <c r="AL27" i="16"/>
  <c r="EC26" i="5" s="1"/>
  <c r="ED26" i="5" s="1"/>
  <c r="AK27" i="16"/>
  <c r="AJ27" i="16"/>
  <c r="DU26" i="5" s="1"/>
  <c r="DV26" i="5" s="1"/>
  <c r="DM26" i="5"/>
  <c r="DN26" i="5" s="1"/>
  <c r="AG27" i="16"/>
  <c r="DI26" i="5" s="1"/>
  <c r="DJ26" i="5" s="1"/>
  <c r="AF27" i="16"/>
  <c r="DE26" i="5" s="1"/>
  <c r="DF26" i="5" s="1"/>
  <c r="AE27" i="16"/>
  <c r="DA26" i="5" s="1"/>
  <c r="AD27" i="16"/>
  <c r="CW26" i="5" s="1"/>
  <c r="AC27" i="16"/>
  <c r="CS26" i="5" s="1"/>
  <c r="CT26" i="5" s="1"/>
  <c r="AB27" i="16"/>
  <c r="CO26" i="5" s="1"/>
  <c r="CP26" i="5" s="1"/>
  <c r="AA27" i="16"/>
  <c r="CK26" i="5" s="1"/>
  <c r="CL26" i="5" s="1"/>
  <c r="Z27" i="16"/>
  <c r="CG26" i="5" s="1"/>
  <c r="CH26" i="5" s="1"/>
  <c r="Y27" i="16"/>
  <c r="CC26" i="5" s="1"/>
  <c r="CD26" i="5" s="1"/>
  <c r="X27" i="16"/>
  <c r="BY26" i="5" s="1"/>
  <c r="BZ26" i="5" s="1"/>
  <c r="W27" i="16"/>
  <c r="BU26" i="5" s="1"/>
  <c r="BV26" i="5" s="1"/>
  <c r="V27" i="16"/>
  <c r="U27" i="16"/>
  <c r="BM26" i="5" s="1"/>
  <c r="BN26" i="5" s="1"/>
  <c r="T27" i="16"/>
  <c r="BI26" i="5" s="1"/>
  <c r="BJ26" i="5" s="1"/>
  <c r="S27" i="16"/>
  <c r="BE26" i="5" s="1"/>
  <c r="R27" i="16"/>
  <c r="BA26" i="5" s="1"/>
  <c r="Q27" i="16"/>
  <c r="AW26" i="5" s="1"/>
  <c r="P27" i="16"/>
  <c r="AS26" i="5" s="1"/>
  <c r="AO26" i="5"/>
  <c r="AP26" i="5" s="1"/>
  <c r="AK26" i="5"/>
  <c r="AL26" i="5" s="1"/>
  <c r="G27" i="16"/>
  <c r="E27" i="16" s="1"/>
  <c r="F27" i="16"/>
  <c r="D27" i="16" s="1"/>
  <c r="DE26" i="16"/>
  <c r="DD26" i="16"/>
  <c r="DC26" i="16"/>
  <c r="DB26" i="16"/>
  <c r="DA26" i="16"/>
  <c r="CZ26" i="16"/>
  <c r="CW26" i="16"/>
  <c r="CV26" i="16"/>
  <c r="CU26" i="16"/>
  <c r="CT26" i="16"/>
  <c r="CS26" i="16"/>
  <c r="CR26" i="16"/>
  <c r="CQ26" i="16"/>
  <c r="CP26" i="16"/>
  <c r="CO26" i="16"/>
  <c r="CN26" i="16"/>
  <c r="CM26" i="16"/>
  <c r="CL26" i="16"/>
  <c r="CJ26" i="16"/>
  <c r="CG26" i="16"/>
  <c r="LA25" i="5" s="1"/>
  <c r="CF26" i="16"/>
  <c r="KW25" i="5" s="1"/>
  <c r="CE26" i="16"/>
  <c r="CD26" i="16"/>
  <c r="KO25" i="5" s="1"/>
  <c r="CC26" i="16"/>
  <c r="KK25" i="5" s="1"/>
  <c r="CB26" i="16"/>
  <c r="KG25" i="5" s="1"/>
  <c r="CA26" i="16"/>
  <c r="KC25" i="5" s="1"/>
  <c r="KD25" i="5" s="1"/>
  <c r="BZ26" i="16"/>
  <c r="JY25" i="5" s="1"/>
  <c r="JZ25" i="5" s="1"/>
  <c r="BY26" i="16"/>
  <c r="JU25" i="5" s="1"/>
  <c r="JV25" i="5" s="1"/>
  <c r="BX26" i="16"/>
  <c r="JQ25" i="5" s="1"/>
  <c r="JR25" i="5" s="1"/>
  <c r="BW26" i="16"/>
  <c r="BV26" i="16"/>
  <c r="JI25" i="5" s="1"/>
  <c r="JJ25" i="5" s="1"/>
  <c r="BU26" i="16"/>
  <c r="JE25" i="5" s="1"/>
  <c r="BT26" i="16"/>
  <c r="JA25" i="5" s="1"/>
  <c r="BS26" i="16"/>
  <c r="BR26" i="16"/>
  <c r="IS25" i="5" s="1"/>
  <c r="IT25" i="5" s="1"/>
  <c r="BO26" i="16"/>
  <c r="IO25" i="5" s="1"/>
  <c r="BN26" i="16"/>
  <c r="IK25" i="5" s="1"/>
  <c r="BM26" i="16"/>
  <c r="BL26" i="16"/>
  <c r="IC25" i="5" s="1"/>
  <c r="BK26" i="16"/>
  <c r="HY25" i="5" s="1"/>
  <c r="HZ25" i="5" s="1"/>
  <c r="BJ26" i="16"/>
  <c r="HU25" i="5" s="1"/>
  <c r="HV25" i="5" s="1"/>
  <c r="BI26" i="16"/>
  <c r="BH26" i="16"/>
  <c r="HM25" i="5" s="1"/>
  <c r="BG26" i="16"/>
  <c r="HI25" i="5" s="1"/>
  <c r="HJ25" i="5" s="1"/>
  <c r="BF26" i="16"/>
  <c r="HE25" i="5" s="1"/>
  <c r="HF25" i="5" s="1"/>
  <c r="BE26" i="16"/>
  <c r="BD26" i="16"/>
  <c r="GW25" i="5" s="1"/>
  <c r="GX25" i="5" s="1"/>
  <c r="BC26" i="16"/>
  <c r="GS25" i="5" s="1"/>
  <c r="BB26" i="16"/>
  <c r="GO25" i="5" s="1"/>
  <c r="BA26" i="16"/>
  <c r="GK25" i="5" s="1"/>
  <c r="GL25" i="5" s="1"/>
  <c r="AZ26" i="16"/>
  <c r="GG25" i="5" s="1"/>
  <c r="GH25" i="5" s="1"/>
  <c r="AY26" i="16"/>
  <c r="GC25" i="5" s="1"/>
  <c r="GE25" i="5" s="1"/>
  <c r="AX26" i="16"/>
  <c r="FY25" i="5" s="1"/>
  <c r="GA25" i="5" s="1"/>
  <c r="AW26" i="16"/>
  <c r="AV26" i="16"/>
  <c r="FQ25" i="5" s="1"/>
  <c r="AU26" i="16"/>
  <c r="FM25" i="5" s="1"/>
  <c r="AT26" i="16"/>
  <c r="FI25" i="5" s="1"/>
  <c r="AS26" i="16"/>
  <c r="FE25" i="5" s="1"/>
  <c r="FF25" i="5" s="1"/>
  <c r="AR26" i="16"/>
  <c r="FA25" i="5" s="1"/>
  <c r="FB25" i="5" s="1"/>
  <c r="AO26" i="16"/>
  <c r="AN26" i="16"/>
  <c r="EK25" i="5" s="1"/>
  <c r="EN25" i="5" s="1"/>
  <c r="AM26" i="16"/>
  <c r="EG25" i="5" s="1"/>
  <c r="EH25" i="5" s="1"/>
  <c r="AL26" i="16"/>
  <c r="EC25" i="5" s="1"/>
  <c r="ED25" i="5" s="1"/>
  <c r="AK26" i="16"/>
  <c r="DY25" i="5" s="1"/>
  <c r="DZ25" i="5" s="1"/>
  <c r="AJ26" i="16"/>
  <c r="DU25" i="5" s="1"/>
  <c r="DV25" i="5" s="1"/>
  <c r="DQ25" i="5"/>
  <c r="DR25" i="5" s="1"/>
  <c r="DM25" i="5"/>
  <c r="DN25" i="5" s="1"/>
  <c r="AG26" i="16"/>
  <c r="AF26" i="16"/>
  <c r="DE25" i="5" s="1"/>
  <c r="DF25" i="5" s="1"/>
  <c r="AE26" i="16"/>
  <c r="DA25" i="5" s="1"/>
  <c r="AD26" i="16"/>
  <c r="CW25" i="5" s="1"/>
  <c r="AC26" i="16"/>
  <c r="CS25" i="5" s="1"/>
  <c r="CT25" i="5" s="1"/>
  <c r="AB26" i="16"/>
  <c r="CO25" i="5" s="1"/>
  <c r="CP25" i="5" s="1"/>
  <c r="AA26" i="16"/>
  <c r="CK25" i="5" s="1"/>
  <c r="CL25" i="5" s="1"/>
  <c r="Z26" i="16"/>
  <c r="CG25" i="5" s="1"/>
  <c r="CH25" i="5" s="1"/>
  <c r="Y26" i="16"/>
  <c r="X26" i="16"/>
  <c r="BY25" i="5" s="1"/>
  <c r="BZ25" i="5" s="1"/>
  <c r="W26" i="16"/>
  <c r="V26" i="16"/>
  <c r="U26" i="16"/>
  <c r="T26" i="16"/>
  <c r="BI25" i="5" s="1"/>
  <c r="BJ25" i="5" s="1"/>
  <c r="S26" i="16"/>
  <c r="BE25" i="5" s="1"/>
  <c r="R26" i="16"/>
  <c r="BA25" i="5" s="1"/>
  <c r="Q26" i="16"/>
  <c r="P26" i="16"/>
  <c r="AS25" i="5" s="1"/>
  <c r="AO25" i="5"/>
  <c r="AP25" i="5" s="1"/>
  <c r="AK25" i="5"/>
  <c r="AL25" i="5" s="1"/>
  <c r="G26" i="16"/>
  <c r="F26" i="16"/>
  <c r="D26" i="16" s="1"/>
  <c r="DE25" i="16"/>
  <c r="DD25" i="16"/>
  <c r="DC25" i="16"/>
  <c r="DB25" i="16"/>
  <c r="DA25" i="16"/>
  <c r="CZ25" i="16"/>
  <c r="CW25" i="16"/>
  <c r="CV25" i="16"/>
  <c r="CU25" i="16"/>
  <c r="CT25" i="16"/>
  <c r="CS25" i="16"/>
  <c r="CR25" i="16"/>
  <c r="CQ25" i="16"/>
  <c r="CP25" i="16"/>
  <c r="CO25" i="16"/>
  <c r="CN25" i="16"/>
  <c r="CM25" i="16"/>
  <c r="CL25" i="16"/>
  <c r="CJ25" i="16"/>
  <c r="CG25" i="16"/>
  <c r="LA24" i="5" s="1"/>
  <c r="CF25" i="16"/>
  <c r="KW24" i="5" s="1"/>
  <c r="CE25" i="16"/>
  <c r="KS24" i="5" s="1"/>
  <c r="CD25" i="16"/>
  <c r="KO24" i="5" s="1"/>
  <c r="CC25" i="16"/>
  <c r="KK24" i="5" s="1"/>
  <c r="CB25" i="16"/>
  <c r="KG24" i="5" s="1"/>
  <c r="CA25" i="16"/>
  <c r="KC24" i="5" s="1"/>
  <c r="KD24" i="5" s="1"/>
  <c r="BZ25" i="16"/>
  <c r="JY24" i="5" s="1"/>
  <c r="JZ24" i="5" s="1"/>
  <c r="BY25" i="16"/>
  <c r="JU24" i="5" s="1"/>
  <c r="JV24" i="5" s="1"/>
  <c r="BX25" i="16"/>
  <c r="JQ24" i="5" s="1"/>
  <c r="JR24" i="5" s="1"/>
  <c r="BW25" i="16"/>
  <c r="JM24" i="5" s="1"/>
  <c r="JN24" i="5" s="1"/>
  <c r="BV25" i="16"/>
  <c r="JI24" i="5" s="1"/>
  <c r="JJ24" i="5" s="1"/>
  <c r="BU25" i="16"/>
  <c r="JE24" i="5" s="1"/>
  <c r="BT25" i="16"/>
  <c r="JA24" i="5" s="1"/>
  <c r="BS25" i="16"/>
  <c r="IW24" i="5" s="1"/>
  <c r="IX24" i="5" s="1"/>
  <c r="BR25" i="16"/>
  <c r="IS24" i="5" s="1"/>
  <c r="IT24" i="5" s="1"/>
  <c r="BO25" i="16"/>
  <c r="IO24" i="5" s="1"/>
  <c r="BN25" i="16"/>
  <c r="IK24" i="5" s="1"/>
  <c r="BM25" i="16"/>
  <c r="BL25" i="16"/>
  <c r="IC24" i="5" s="1"/>
  <c r="BK25" i="16"/>
  <c r="HY24" i="5" s="1"/>
  <c r="HZ24" i="5" s="1"/>
  <c r="BJ25" i="16"/>
  <c r="HU24" i="5" s="1"/>
  <c r="HV24" i="5" s="1"/>
  <c r="BI25" i="16"/>
  <c r="BH25" i="16"/>
  <c r="HM24" i="5" s="1"/>
  <c r="BG25" i="16"/>
  <c r="HI24" i="5" s="1"/>
  <c r="HJ24" i="5" s="1"/>
  <c r="BF25" i="16"/>
  <c r="HE24" i="5" s="1"/>
  <c r="HF24" i="5" s="1"/>
  <c r="BE25" i="16"/>
  <c r="BD25" i="16"/>
  <c r="GW24" i="5" s="1"/>
  <c r="GX24" i="5" s="1"/>
  <c r="BC25" i="16"/>
  <c r="GS24" i="5" s="1"/>
  <c r="BB25" i="16"/>
  <c r="GO24" i="5" s="1"/>
  <c r="BA25" i="16"/>
  <c r="GK24" i="5" s="1"/>
  <c r="GL24" i="5" s="1"/>
  <c r="AZ25" i="16"/>
  <c r="GG24" i="5" s="1"/>
  <c r="GH24" i="5" s="1"/>
  <c r="AY25" i="16"/>
  <c r="GC24" i="5" s="1"/>
  <c r="GE24" i="5" s="1"/>
  <c r="AX25" i="16"/>
  <c r="FY24" i="5" s="1"/>
  <c r="GA24" i="5" s="1"/>
  <c r="AW25" i="16"/>
  <c r="AV25" i="16"/>
  <c r="FQ24" i="5" s="1"/>
  <c r="AU25" i="16"/>
  <c r="FM24" i="5" s="1"/>
  <c r="AT25" i="16"/>
  <c r="FI24" i="5" s="1"/>
  <c r="AS25" i="16"/>
  <c r="FE24" i="5" s="1"/>
  <c r="AR25" i="16"/>
  <c r="FA24" i="5" s="1"/>
  <c r="AO25" i="16"/>
  <c r="EO24" i="5" s="1"/>
  <c r="ER24" i="5" s="1"/>
  <c r="AN25" i="16"/>
  <c r="EK24" i="5" s="1"/>
  <c r="EN24" i="5" s="1"/>
  <c r="AM25" i="16"/>
  <c r="EG24" i="5" s="1"/>
  <c r="EH24" i="5" s="1"/>
  <c r="AL25" i="16"/>
  <c r="EC24" i="5" s="1"/>
  <c r="ED24" i="5" s="1"/>
  <c r="AK25" i="16"/>
  <c r="DY24" i="5" s="1"/>
  <c r="DZ24" i="5" s="1"/>
  <c r="AJ25" i="16"/>
  <c r="DU24" i="5" s="1"/>
  <c r="DV24" i="5" s="1"/>
  <c r="DQ24" i="5"/>
  <c r="DR24" i="5" s="1"/>
  <c r="DM24" i="5"/>
  <c r="DN24" i="5" s="1"/>
  <c r="AG25" i="16"/>
  <c r="DI24" i="5" s="1"/>
  <c r="DJ24" i="5" s="1"/>
  <c r="AF25" i="16"/>
  <c r="DE24" i="5" s="1"/>
  <c r="DF24" i="5" s="1"/>
  <c r="AE25" i="16"/>
  <c r="DA24" i="5" s="1"/>
  <c r="AD25" i="16"/>
  <c r="CW24" i="5" s="1"/>
  <c r="AC25" i="16"/>
  <c r="CS24" i="5" s="1"/>
  <c r="CT24" i="5" s="1"/>
  <c r="AB25" i="16"/>
  <c r="CO24" i="5" s="1"/>
  <c r="CP24" i="5" s="1"/>
  <c r="AA25" i="16"/>
  <c r="CK24" i="5" s="1"/>
  <c r="CL24" i="5" s="1"/>
  <c r="Z25" i="16"/>
  <c r="CG24" i="5" s="1"/>
  <c r="CH24" i="5" s="1"/>
  <c r="Y25" i="16"/>
  <c r="CC24" i="5" s="1"/>
  <c r="CD24" i="5" s="1"/>
  <c r="X25" i="16"/>
  <c r="BY24" i="5" s="1"/>
  <c r="BZ24" i="5" s="1"/>
  <c r="W25" i="16"/>
  <c r="BU24" i="5" s="1"/>
  <c r="BV24" i="5" s="1"/>
  <c r="V25" i="16"/>
  <c r="U25" i="16"/>
  <c r="T25" i="16"/>
  <c r="BI24" i="5" s="1"/>
  <c r="BJ24" i="5" s="1"/>
  <c r="S25" i="16"/>
  <c r="BE24" i="5" s="1"/>
  <c r="R25" i="16"/>
  <c r="BA24" i="5" s="1"/>
  <c r="Q25" i="16"/>
  <c r="AW24" i="5" s="1"/>
  <c r="P25" i="16"/>
  <c r="AS24" i="5" s="1"/>
  <c r="AK24" i="5"/>
  <c r="AL24" i="5" s="1"/>
  <c r="G25" i="16"/>
  <c r="F25" i="16"/>
  <c r="D25" i="16" s="1"/>
  <c r="DE24" i="16"/>
  <c r="DD24" i="16"/>
  <c r="DC24" i="16"/>
  <c r="DB24" i="16"/>
  <c r="DA24" i="16"/>
  <c r="CZ24" i="16"/>
  <c r="CW24" i="16"/>
  <c r="CV24" i="16"/>
  <c r="CU24" i="16"/>
  <c r="CT24" i="16"/>
  <c r="CS24" i="16"/>
  <c r="CR24" i="16"/>
  <c r="CQ24" i="16"/>
  <c r="CP24" i="16"/>
  <c r="CO24" i="16"/>
  <c r="CN24" i="16"/>
  <c r="CM24" i="16"/>
  <c r="CL24" i="16"/>
  <c r="CJ24" i="16"/>
  <c r="CG24" i="16"/>
  <c r="LA23" i="5" s="1"/>
  <c r="CF24" i="16"/>
  <c r="KW23" i="5" s="1"/>
  <c r="CE24" i="16"/>
  <c r="KS23" i="5" s="1"/>
  <c r="CD24" i="16"/>
  <c r="KO23" i="5" s="1"/>
  <c r="CC24" i="16"/>
  <c r="KK23" i="5" s="1"/>
  <c r="CB24" i="16"/>
  <c r="KG23" i="5" s="1"/>
  <c r="CA24" i="16"/>
  <c r="KC23" i="5" s="1"/>
  <c r="KD23" i="5" s="1"/>
  <c r="BZ24" i="16"/>
  <c r="JY23" i="5" s="1"/>
  <c r="JZ23" i="5" s="1"/>
  <c r="BY24" i="16"/>
  <c r="JU23" i="5" s="1"/>
  <c r="JV23" i="5" s="1"/>
  <c r="BX24" i="16"/>
  <c r="JQ23" i="5" s="1"/>
  <c r="JR23" i="5" s="1"/>
  <c r="BW24" i="16"/>
  <c r="JM23" i="5" s="1"/>
  <c r="JN23" i="5" s="1"/>
  <c r="BV24" i="16"/>
  <c r="JI23" i="5" s="1"/>
  <c r="JJ23" i="5" s="1"/>
  <c r="BU24" i="16"/>
  <c r="JE23" i="5" s="1"/>
  <c r="BT24" i="16"/>
  <c r="JA23" i="5" s="1"/>
  <c r="BS24" i="16"/>
  <c r="IW23" i="5" s="1"/>
  <c r="IX23" i="5" s="1"/>
  <c r="BR24" i="16"/>
  <c r="IS23" i="5" s="1"/>
  <c r="IT23" i="5" s="1"/>
  <c r="BO24" i="16"/>
  <c r="BN24" i="16"/>
  <c r="IK23" i="5" s="1"/>
  <c r="BM24" i="16"/>
  <c r="IG23" i="5" s="1"/>
  <c r="BL24" i="16"/>
  <c r="IC23" i="5" s="1"/>
  <c r="BK24" i="16"/>
  <c r="HY23" i="5" s="1"/>
  <c r="HZ23" i="5" s="1"/>
  <c r="BJ24" i="16"/>
  <c r="HU23" i="5" s="1"/>
  <c r="HV23" i="5" s="1"/>
  <c r="BI24" i="16"/>
  <c r="BH24" i="16"/>
  <c r="HM23" i="5" s="1"/>
  <c r="BG24" i="16"/>
  <c r="HI23" i="5" s="1"/>
  <c r="HJ23" i="5" s="1"/>
  <c r="BF24" i="16"/>
  <c r="HE23" i="5" s="1"/>
  <c r="HF23" i="5" s="1"/>
  <c r="BE24" i="16"/>
  <c r="HA23" i="5" s="1"/>
  <c r="HB23" i="5" s="1"/>
  <c r="BD24" i="16"/>
  <c r="GW23" i="5" s="1"/>
  <c r="GX23" i="5" s="1"/>
  <c r="BC24" i="16"/>
  <c r="GS23" i="5" s="1"/>
  <c r="BB24" i="16"/>
  <c r="GO23" i="5" s="1"/>
  <c r="BA24" i="16"/>
  <c r="GK23" i="5" s="1"/>
  <c r="GL23" i="5" s="1"/>
  <c r="AZ24" i="16"/>
  <c r="AY24" i="16"/>
  <c r="GC23" i="5" s="1"/>
  <c r="GE23" i="5" s="1"/>
  <c r="AX24" i="16"/>
  <c r="FY23" i="5" s="1"/>
  <c r="GA23" i="5" s="1"/>
  <c r="AW24" i="16"/>
  <c r="AV24" i="16"/>
  <c r="FQ23" i="5" s="1"/>
  <c r="AU24" i="16"/>
  <c r="FM23" i="5" s="1"/>
  <c r="AT24" i="16"/>
  <c r="FI23" i="5" s="1"/>
  <c r="AS24" i="16"/>
  <c r="FE23" i="5" s="1"/>
  <c r="AR24" i="16"/>
  <c r="FA23" i="5" s="1"/>
  <c r="AO24" i="16"/>
  <c r="EO23" i="5" s="1"/>
  <c r="ER23" i="5" s="1"/>
  <c r="AN24" i="16"/>
  <c r="EK23" i="5" s="1"/>
  <c r="EN23" i="5" s="1"/>
  <c r="AM24" i="16"/>
  <c r="EG23" i="5" s="1"/>
  <c r="EH23" i="5" s="1"/>
  <c r="AL24" i="16"/>
  <c r="EC23" i="5" s="1"/>
  <c r="ED23" i="5" s="1"/>
  <c r="AK24" i="16"/>
  <c r="AJ24" i="16"/>
  <c r="DU23" i="5" s="1"/>
  <c r="DV23" i="5" s="1"/>
  <c r="DQ23" i="5"/>
  <c r="DR23" i="5" s="1"/>
  <c r="DM23" i="5"/>
  <c r="DN23" i="5" s="1"/>
  <c r="AG24" i="16"/>
  <c r="DI23" i="5" s="1"/>
  <c r="DJ23" i="5" s="1"/>
  <c r="AF24" i="16"/>
  <c r="DE23" i="5" s="1"/>
  <c r="DF23" i="5" s="1"/>
  <c r="AE24" i="16"/>
  <c r="DA23" i="5" s="1"/>
  <c r="AD24" i="16"/>
  <c r="CW23" i="5" s="1"/>
  <c r="AC24" i="16"/>
  <c r="AB24" i="16"/>
  <c r="CO23" i="5" s="1"/>
  <c r="CP23" i="5" s="1"/>
  <c r="AA24" i="16"/>
  <c r="CK23" i="5" s="1"/>
  <c r="CL23" i="5" s="1"/>
  <c r="Z24" i="16"/>
  <c r="CG23" i="5" s="1"/>
  <c r="CH23" i="5" s="1"/>
  <c r="Y24" i="16"/>
  <c r="CC23" i="5" s="1"/>
  <c r="CD23" i="5" s="1"/>
  <c r="X24" i="16"/>
  <c r="BY23" i="5" s="1"/>
  <c r="BZ23" i="5" s="1"/>
  <c r="W24" i="16"/>
  <c r="BU23" i="5" s="1"/>
  <c r="BV23" i="5" s="1"/>
  <c r="V24" i="16"/>
  <c r="U24" i="16"/>
  <c r="T24" i="16"/>
  <c r="BI23" i="5" s="1"/>
  <c r="BJ23" i="5" s="1"/>
  <c r="S24" i="16"/>
  <c r="BE23" i="5" s="1"/>
  <c r="R24" i="16"/>
  <c r="BA23" i="5" s="1"/>
  <c r="Q24" i="16"/>
  <c r="AW23" i="5" s="1"/>
  <c r="P24" i="16"/>
  <c r="AS23" i="5" s="1"/>
  <c r="AO23" i="5"/>
  <c r="AP23" i="5" s="1"/>
  <c r="AK23" i="5"/>
  <c r="AL23" i="5" s="1"/>
  <c r="G24" i="16"/>
  <c r="E24" i="16" s="1"/>
  <c r="F24" i="16"/>
  <c r="D24" i="16" s="1"/>
  <c r="DE23" i="16"/>
  <c r="DD23" i="16"/>
  <c r="DC23" i="16"/>
  <c r="DB23" i="16"/>
  <c r="DA23" i="16"/>
  <c r="CZ23" i="16"/>
  <c r="CW23" i="16"/>
  <c r="CV23" i="16"/>
  <c r="CU23" i="16"/>
  <c r="CT23" i="16"/>
  <c r="CS23" i="16"/>
  <c r="CR23" i="16"/>
  <c r="CQ23" i="16"/>
  <c r="CP23" i="16"/>
  <c r="CO23" i="16"/>
  <c r="CN23" i="16"/>
  <c r="CM23" i="16"/>
  <c r="CL23" i="16"/>
  <c r="CJ23" i="16"/>
  <c r="CG23" i="16"/>
  <c r="LA22" i="5" s="1"/>
  <c r="CF23" i="16"/>
  <c r="KW22" i="5" s="1"/>
  <c r="CE23" i="16"/>
  <c r="CD23" i="16"/>
  <c r="KO22" i="5" s="1"/>
  <c r="CC23" i="16"/>
  <c r="KK22" i="5" s="1"/>
  <c r="CB23" i="16"/>
  <c r="KG22" i="5" s="1"/>
  <c r="CA23" i="16"/>
  <c r="BZ23" i="16"/>
  <c r="JY22" i="5" s="1"/>
  <c r="JZ22" i="5" s="1"/>
  <c r="BY23" i="16"/>
  <c r="JU22" i="5" s="1"/>
  <c r="JV22" i="5" s="1"/>
  <c r="BX23" i="16"/>
  <c r="JQ22" i="5" s="1"/>
  <c r="JR22" i="5" s="1"/>
  <c r="BW23" i="16"/>
  <c r="BV23" i="16"/>
  <c r="JI22" i="5" s="1"/>
  <c r="JJ22" i="5" s="1"/>
  <c r="BU23" i="16"/>
  <c r="BT23" i="16"/>
  <c r="JA22" i="5" s="1"/>
  <c r="BS23" i="16"/>
  <c r="BR23" i="16"/>
  <c r="IS22" i="5" s="1"/>
  <c r="IT22" i="5" s="1"/>
  <c r="BO23" i="16"/>
  <c r="IO22" i="5" s="1"/>
  <c r="BN23" i="16"/>
  <c r="IK22" i="5" s="1"/>
  <c r="BM23" i="16"/>
  <c r="BL23" i="16"/>
  <c r="IC22" i="5" s="1"/>
  <c r="BK23" i="16"/>
  <c r="BJ23" i="16"/>
  <c r="HU22" i="5" s="1"/>
  <c r="HV22" i="5" s="1"/>
  <c r="BI23" i="16"/>
  <c r="BH23" i="16"/>
  <c r="HM22" i="5" s="1"/>
  <c r="BG23" i="16"/>
  <c r="HI22" i="5" s="1"/>
  <c r="HJ22" i="5" s="1"/>
  <c r="BF23" i="16"/>
  <c r="HE22" i="5" s="1"/>
  <c r="HF22" i="5" s="1"/>
  <c r="BE23" i="16"/>
  <c r="BD23" i="16"/>
  <c r="GW22" i="5" s="1"/>
  <c r="GX22" i="5" s="1"/>
  <c r="BC23" i="16"/>
  <c r="BB23" i="16"/>
  <c r="GO22" i="5" s="1"/>
  <c r="BA23" i="16"/>
  <c r="AZ23" i="16"/>
  <c r="GG22" i="5" s="1"/>
  <c r="GH22" i="5" s="1"/>
  <c r="AY23" i="16"/>
  <c r="GC22" i="5" s="1"/>
  <c r="GE22" i="5" s="1"/>
  <c r="AX23" i="16"/>
  <c r="FY22" i="5" s="1"/>
  <c r="GA22" i="5" s="1"/>
  <c r="AW23" i="16"/>
  <c r="AV23" i="16"/>
  <c r="FQ22" i="5" s="1"/>
  <c r="AU23" i="16"/>
  <c r="AT23" i="16"/>
  <c r="FI22" i="5" s="1"/>
  <c r="AS23" i="16"/>
  <c r="AR23" i="16"/>
  <c r="FA22" i="5" s="1"/>
  <c r="AO23" i="16"/>
  <c r="AN23" i="16"/>
  <c r="EK22" i="5" s="1"/>
  <c r="EN22" i="5" s="1"/>
  <c r="AM23" i="16"/>
  <c r="AL23" i="16"/>
  <c r="EC22" i="5" s="1"/>
  <c r="ED22" i="5" s="1"/>
  <c r="AK23" i="16"/>
  <c r="AJ23" i="16"/>
  <c r="DU22" i="5" s="1"/>
  <c r="DV22" i="5" s="1"/>
  <c r="DQ22" i="5"/>
  <c r="DR22" i="5" s="1"/>
  <c r="DM22" i="5"/>
  <c r="DN22" i="5" s="1"/>
  <c r="AG23" i="16"/>
  <c r="AF23" i="16"/>
  <c r="DE22" i="5" s="1"/>
  <c r="DF22" i="5" s="1"/>
  <c r="AE23" i="16"/>
  <c r="AD23" i="16"/>
  <c r="CW22" i="5" s="1"/>
  <c r="AC23" i="16"/>
  <c r="AB23" i="16"/>
  <c r="CO22" i="5" s="1"/>
  <c r="CP22" i="5" s="1"/>
  <c r="AA23" i="16"/>
  <c r="CK22" i="5" s="1"/>
  <c r="CL22" i="5" s="1"/>
  <c r="Z23" i="16"/>
  <c r="CG22" i="5" s="1"/>
  <c r="CH22" i="5" s="1"/>
  <c r="Y23" i="16"/>
  <c r="X23" i="16"/>
  <c r="BY22" i="5" s="1"/>
  <c r="BZ22" i="5" s="1"/>
  <c r="W23" i="16"/>
  <c r="V23" i="16"/>
  <c r="U23" i="16"/>
  <c r="T23" i="16"/>
  <c r="BI22" i="5" s="1"/>
  <c r="BJ22" i="5" s="1"/>
  <c r="S23" i="16"/>
  <c r="BE22" i="5" s="1"/>
  <c r="R23" i="16"/>
  <c r="BA22" i="5" s="1"/>
  <c r="Q23" i="16"/>
  <c r="P23" i="16"/>
  <c r="AS22" i="5" s="1"/>
  <c r="AK22" i="5"/>
  <c r="AL22" i="5" s="1"/>
  <c r="G23" i="16"/>
  <c r="E23" i="16" s="1"/>
  <c r="F23" i="16"/>
  <c r="DE22" i="16"/>
  <c r="DD22" i="16"/>
  <c r="DC22" i="16"/>
  <c r="DB22" i="16"/>
  <c r="DA22" i="16"/>
  <c r="CZ22" i="16"/>
  <c r="CW22" i="16"/>
  <c r="CV22" i="16"/>
  <c r="CU22" i="16"/>
  <c r="CT22" i="16"/>
  <c r="CS22" i="16"/>
  <c r="CR22" i="16"/>
  <c r="CQ22" i="16"/>
  <c r="CP22" i="16"/>
  <c r="CO22" i="16"/>
  <c r="CN22" i="16"/>
  <c r="CM22" i="16"/>
  <c r="CL22" i="16"/>
  <c r="CJ22" i="16"/>
  <c r="CG22" i="16"/>
  <c r="CF22" i="16"/>
  <c r="KW21" i="5" s="1"/>
  <c r="CE22" i="16"/>
  <c r="CD22" i="16"/>
  <c r="KO21" i="5" s="1"/>
  <c r="CC22" i="16"/>
  <c r="KK21" i="5" s="1"/>
  <c r="CB22" i="16"/>
  <c r="KG21" i="5" s="1"/>
  <c r="CA22" i="16"/>
  <c r="BZ22" i="16"/>
  <c r="JY21" i="5" s="1"/>
  <c r="JZ21" i="5" s="1"/>
  <c r="BY22" i="16"/>
  <c r="BX22" i="16"/>
  <c r="JQ21" i="5" s="1"/>
  <c r="JR21" i="5" s="1"/>
  <c r="BW22" i="16"/>
  <c r="JM21" i="5" s="1"/>
  <c r="JN21" i="5" s="1"/>
  <c r="BV22" i="16"/>
  <c r="JI21" i="5" s="1"/>
  <c r="JJ21" i="5" s="1"/>
  <c r="BU22" i="16"/>
  <c r="JE21" i="5" s="1"/>
  <c r="BT22" i="16"/>
  <c r="JA21" i="5" s="1"/>
  <c r="BS22" i="16"/>
  <c r="BR22" i="16"/>
  <c r="IS21" i="5" s="1"/>
  <c r="IT21" i="5" s="1"/>
  <c r="BO22" i="16"/>
  <c r="BN22" i="16"/>
  <c r="IK21" i="5" s="1"/>
  <c r="BM22" i="16"/>
  <c r="BL22" i="16"/>
  <c r="IC21" i="5" s="1"/>
  <c r="BK22" i="16"/>
  <c r="HY21" i="5" s="1"/>
  <c r="HZ21" i="5" s="1"/>
  <c r="BJ22" i="16"/>
  <c r="HU21" i="5" s="1"/>
  <c r="HV21" i="5" s="1"/>
  <c r="BI22" i="16"/>
  <c r="BH22" i="16"/>
  <c r="HM21" i="5" s="1"/>
  <c r="BG22" i="16"/>
  <c r="BF22" i="16"/>
  <c r="HE21" i="5" s="1"/>
  <c r="HF21" i="5" s="1"/>
  <c r="BE22" i="16"/>
  <c r="HA21" i="5" s="1"/>
  <c r="HB21" i="5" s="1"/>
  <c r="BD22" i="16"/>
  <c r="GW21" i="5" s="1"/>
  <c r="GX21" i="5" s="1"/>
  <c r="BC22" i="16"/>
  <c r="GS21" i="5" s="1"/>
  <c r="BB22" i="16"/>
  <c r="GO21" i="5" s="1"/>
  <c r="BA22" i="16"/>
  <c r="AZ22" i="16"/>
  <c r="GG21" i="5" s="1"/>
  <c r="GH21" i="5" s="1"/>
  <c r="AY22" i="16"/>
  <c r="AX22" i="16"/>
  <c r="FY21" i="5" s="1"/>
  <c r="GA21" i="5" s="1"/>
  <c r="AW22" i="16"/>
  <c r="AV22" i="16"/>
  <c r="FQ21" i="5" s="1"/>
  <c r="AU22" i="16"/>
  <c r="FM21" i="5" s="1"/>
  <c r="AT22" i="16"/>
  <c r="FI21" i="5" s="1"/>
  <c r="AS22" i="16"/>
  <c r="AR22" i="16"/>
  <c r="FA21" i="5" s="1"/>
  <c r="AO22" i="16"/>
  <c r="AN22" i="16"/>
  <c r="EK21" i="5" s="1"/>
  <c r="EN21" i="5" s="1"/>
  <c r="AM22" i="16"/>
  <c r="EG21" i="5" s="1"/>
  <c r="EH21" i="5" s="1"/>
  <c r="AL22" i="16"/>
  <c r="EC21" i="5" s="1"/>
  <c r="ED21" i="5" s="1"/>
  <c r="AK22" i="16"/>
  <c r="DY21" i="5" s="1"/>
  <c r="DZ21" i="5" s="1"/>
  <c r="AJ22" i="16"/>
  <c r="DU21" i="5" s="1"/>
  <c r="DV21" i="5" s="1"/>
  <c r="DM21" i="5"/>
  <c r="DN21" i="5" s="1"/>
  <c r="AG22" i="16"/>
  <c r="DI21" i="5" s="1"/>
  <c r="DJ21" i="5" s="1"/>
  <c r="AF22" i="16"/>
  <c r="DE21" i="5" s="1"/>
  <c r="DF21" i="5" s="1"/>
  <c r="AE22" i="16"/>
  <c r="DA21" i="5" s="1"/>
  <c r="AD22" i="16"/>
  <c r="CW21" i="5" s="1"/>
  <c r="AC22" i="16"/>
  <c r="AB22" i="16"/>
  <c r="CO21" i="5" s="1"/>
  <c r="CP21" i="5" s="1"/>
  <c r="AA22" i="16"/>
  <c r="CK21" i="5" s="1"/>
  <c r="CL21" i="5" s="1"/>
  <c r="Z22" i="16"/>
  <c r="CG21" i="5" s="1"/>
  <c r="CH21" i="5" s="1"/>
  <c r="Y22" i="16"/>
  <c r="CC21" i="5" s="1"/>
  <c r="CD21" i="5" s="1"/>
  <c r="X22" i="16"/>
  <c r="BY21" i="5" s="1"/>
  <c r="BZ21" i="5" s="1"/>
  <c r="W22" i="16"/>
  <c r="BU21" i="5" s="1"/>
  <c r="BV21" i="5" s="1"/>
  <c r="V22" i="16"/>
  <c r="U22" i="16"/>
  <c r="BM21" i="5" s="1"/>
  <c r="BN21" i="5" s="1"/>
  <c r="T22" i="16"/>
  <c r="BI21" i="5" s="1"/>
  <c r="BJ21" i="5" s="1"/>
  <c r="S22" i="16"/>
  <c r="BE21" i="5" s="1"/>
  <c r="R22" i="16"/>
  <c r="BA21" i="5" s="1"/>
  <c r="Q22" i="16"/>
  <c r="AW21" i="5" s="1"/>
  <c r="P22" i="16"/>
  <c r="AS21" i="5" s="1"/>
  <c r="AO21" i="5"/>
  <c r="AP21" i="5" s="1"/>
  <c r="AK21" i="5"/>
  <c r="AL21" i="5" s="1"/>
  <c r="G22" i="16"/>
  <c r="F22" i="16"/>
  <c r="DE21" i="16"/>
  <c r="DD21" i="16"/>
  <c r="DC21" i="16"/>
  <c r="DB21" i="16"/>
  <c r="DA21" i="16"/>
  <c r="CZ21" i="16"/>
  <c r="CW21" i="16"/>
  <c r="CV21" i="16"/>
  <c r="CU21" i="16"/>
  <c r="CT21" i="16"/>
  <c r="CS21" i="16"/>
  <c r="CR21" i="16"/>
  <c r="CQ21" i="16"/>
  <c r="CP21" i="16"/>
  <c r="CO21" i="16"/>
  <c r="CN21" i="16"/>
  <c r="CM21" i="16"/>
  <c r="CL21" i="16"/>
  <c r="CJ21" i="16"/>
  <c r="CG21" i="16"/>
  <c r="LA20" i="5" s="1"/>
  <c r="CF21" i="16"/>
  <c r="KW20" i="5" s="1"/>
  <c r="CE21" i="16"/>
  <c r="CD21" i="16"/>
  <c r="KO20" i="5" s="1"/>
  <c r="CC21" i="16"/>
  <c r="KK20" i="5" s="1"/>
  <c r="CB21" i="16"/>
  <c r="KG20" i="5" s="1"/>
  <c r="CA21" i="16"/>
  <c r="BZ21" i="16"/>
  <c r="JY20" i="5" s="1"/>
  <c r="JZ20" i="5" s="1"/>
  <c r="BY21" i="16"/>
  <c r="JU20" i="5" s="1"/>
  <c r="JV20" i="5" s="1"/>
  <c r="BX21" i="16"/>
  <c r="JQ20" i="5" s="1"/>
  <c r="JR20" i="5" s="1"/>
  <c r="BW21" i="16"/>
  <c r="JM20" i="5" s="1"/>
  <c r="JN20" i="5" s="1"/>
  <c r="BV21" i="16"/>
  <c r="JI20" i="5" s="1"/>
  <c r="JJ20" i="5" s="1"/>
  <c r="BU21" i="16"/>
  <c r="JE20" i="5" s="1"/>
  <c r="BT21" i="16"/>
  <c r="JA20" i="5" s="1"/>
  <c r="BS21" i="16"/>
  <c r="BR21" i="16"/>
  <c r="IS20" i="5" s="1"/>
  <c r="IT20" i="5" s="1"/>
  <c r="BO21" i="16"/>
  <c r="IO20" i="5" s="1"/>
  <c r="BN21" i="16"/>
  <c r="IK20" i="5" s="1"/>
  <c r="BM21" i="16"/>
  <c r="IG20" i="5" s="1"/>
  <c r="BL21" i="16"/>
  <c r="IC20" i="5" s="1"/>
  <c r="BK21" i="16"/>
  <c r="HY20" i="5" s="1"/>
  <c r="HZ20" i="5" s="1"/>
  <c r="BJ21" i="16"/>
  <c r="HU20" i="5" s="1"/>
  <c r="HV20" i="5" s="1"/>
  <c r="BI21" i="16"/>
  <c r="BH21" i="16"/>
  <c r="HM20" i="5" s="1"/>
  <c r="BG21" i="16"/>
  <c r="HI20" i="5" s="1"/>
  <c r="HJ20" i="5" s="1"/>
  <c r="BF21" i="16"/>
  <c r="HE20" i="5" s="1"/>
  <c r="HF20" i="5" s="1"/>
  <c r="BE21" i="16"/>
  <c r="HA20" i="5" s="1"/>
  <c r="HB20" i="5" s="1"/>
  <c r="BD21" i="16"/>
  <c r="GW20" i="5" s="1"/>
  <c r="GX20" i="5" s="1"/>
  <c r="BC21" i="16"/>
  <c r="GS20" i="5" s="1"/>
  <c r="BB21" i="16"/>
  <c r="GO20" i="5" s="1"/>
  <c r="BA21" i="16"/>
  <c r="AZ21" i="16"/>
  <c r="GG20" i="5" s="1"/>
  <c r="GH20" i="5" s="1"/>
  <c r="AY21" i="16"/>
  <c r="GC20" i="5" s="1"/>
  <c r="GE20" i="5" s="1"/>
  <c r="AX21" i="16"/>
  <c r="FY20" i="5" s="1"/>
  <c r="GA20" i="5" s="1"/>
  <c r="AW21" i="16"/>
  <c r="FU20" i="5" s="1"/>
  <c r="AV21" i="16"/>
  <c r="FQ20" i="5" s="1"/>
  <c r="AU21" i="16"/>
  <c r="FM20" i="5" s="1"/>
  <c r="AT21" i="16"/>
  <c r="FI20" i="5" s="1"/>
  <c r="AS21" i="16"/>
  <c r="AR21" i="16"/>
  <c r="FA20" i="5" s="1"/>
  <c r="AO21" i="16"/>
  <c r="EO20" i="5" s="1"/>
  <c r="ER20" i="5" s="1"/>
  <c r="AN21" i="16"/>
  <c r="EK20" i="5" s="1"/>
  <c r="EN20" i="5" s="1"/>
  <c r="AM21" i="16"/>
  <c r="AL21" i="16"/>
  <c r="EC20" i="5" s="1"/>
  <c r="ED20" i="5" s="1"/>
  <c r="AK21" i="16"/>
  <c r="AJ21" i="16"/>
  <c r="DU20" i="5" s="1"/>
  <c r="DV20" i="5" s="1"/>
  <c r="DQ20" i="5"/>
  <c r="DR20" i="5" s="1"/>
  <c r="DM20" i="5"/>
  <c r="DN20" i="5" s="1"/>
  <c r="AG21" i="16"/>
  <c r="DI20" i="5" s="1"/>
  <c r="DJ20" i="5" s="1"/>
  <c r="AF21" i="16"/>
  <c r="DE20" i="5" s="1"/>
  <c r="DF20" i="5" s="1"/>
  <c r="AE21" i="16"/>
  <c r="DA20" i="5" s="1"/>
  <c r="AD21" i="16"/>
  <c r="CW20" i="5" s="1"/>
  <c r="AC21" i="16"/>
  <c r="AB21" i="16"/>
  <c r="CO20" i="5" s="1"/>
  <c r="CP20" i="5" s="1"/>
  <c r="AA21" i="16"/>
  <c r="CK20" i="5" s="1"/>
  <c r="CL20" i="5" s="1"/>
  <c r="Z21" i="16"/>
  <c r="CG20" i="5" s="1"/>
  <c r="CH20" i="5" s="1"/>
  <c r="Y21" i="16"/>
  <c r="CC20" i="5" s="1"/>
  <c r="CD20" i="5" s="1"/>
  <c r="X21" i="16"/>
  <c r="BY20" i="5" s="1"/>
  <c r="BZ20" i="5" s="1"/>
  <c r="W21" i="16"/>
  <c r="BU20" i="5" s="1"/>
  <c r="BV20" i="5" s="1"/>
  <c r="V21" i="16"/>
  <c r="U21" i="16"/>
  <c r="T21" i="16"/>
  <c r="BI20" i="5" s="1"/>
  <c r="BJ20" i="5" s="1"/>
  <c r="S21" i="16"/>
  <c r="BE20" i="5" s="1"/>
  <c r="R21" i="16"/>
  <c r="BA20" i="5" s="1"/>
  <c r="Q21" i="16"/>
  <c r="AW20" i="5" s="1"/>
  <c r="P21" i="16"/>
  <c r="AS20" i="5" s="1"/>
  <c r="AO20" i="5"/>
  <c r="AP20" i="5" s="1"/>
  <c r="AK20" i="5"/>
  <c r="AL20" i="5" s="1"/>
  <c r="G21" i="16"/>
  <c r="E21" i="16" s="1"/>
  <c r="F21" i="16"/>
  <c r="DE20" i="16"/>
  <c r="DD20" i="16"/>
  <c r="DC20" i="16"/>
  <c r="DB20" i="16"/>
  <c r="DA20" i="16"/>
  <c r="CZ20" i="16"/>
  <c r="CW20" i="16"/>
  <c r="CV20" i="16"/>
  <c r="CU20" i="16"/>
  <c r="CT20" i="16"/>
  <c r="CS20" i="16"/>
  <c r="CR20" i="16"/>
  <c r="CQ20" i="16"/>
  <c r="CP20" i="16"/>
  <c r="CO20" i="16"/>
  <c r="CN20" i="16"/>
  <c r="CM20" i="16"/>
  <c r="CL20" i="16"/>
  <c r="CJ20" i="16"/>
  <c r="CG20" i="16"/>
  <c r="LA19" i="5" s="1"/>
  <c r="CF20" i="16"/>
  <c r="KW19" i="5" s="1"/>
  <c r="CE20" i="16"/>
  <c r="CD20" i="16"/>
  <c r="KO19" i="5" s="1"/>
  <c r="CC20" i="16"/>
  <c r="KK19" i="5" s="1"/>
  <c r="CB20" i="16"/>
  <c r="KG19" i="5" s="1"/>
  <c r="CA20" i="16"/>
  <c r="KC19" i="5" s="1"/>
  <c r="KD19" i="5" s="1"/>
  <c r="BZ20" i="16"/>
  <c r="JY19" i="5" s="1"/>
  <c r="JZ19" i="5" s="1"/>
  <c r="BY20" i="16"/>
  <c r="BX20" i="16"/>
  <c r="JQ19" i="5" s="1"/>
  <c r="JR19" i="5" s="1"/>
  <c r="BW20" i="16"/>
  <c r="BV20" i="16"/>
  <c r="JI19" i="5" s="1"/>
  <c r="JJ19" i="5" s="1"/>
  <c r="BU20" i="16"/>
  <c r="JE19" i="5" s="1"/>
  <c r="BT20" i="16"/>
  <c r="JA19" i="5" s="1"/>
  <c r="BS20" i="16"/>
  <c r="IW19" i="5" s="1"/>
  <c r="IX19" i="5" s="1"/>
  <c r="BR20" i="16"/>
  <c r="IS19" i="5" s="1"/>
  <c r="IT19" i="5" s="1"/>
  <c r="BO20" i="16"/>
  <c r="IO19" i="5" s="1"/>
  <c r="BN20" i="16"/>
  <c r="IK19" i="5" s="1"/>
  <c r="BM20" i="16"/>
  <c r="BL20" i="16"/>
  <c r="IC19" i="5" s="1"/>
  <c r="BK20" i="16"/>
  <c r="HY19" i="5" s="1"/>
  <c r="HZ19" i="5" s="1"/>
  <c r="BJ20" i="16"/>
  <c r="HU19" i="5" s="1"/>
  <c r="HV19" i="5" s="1"/>
  <c r="BI20" i="16"/>
  <c r="BH20" i="16"/>
  <c r="HM19" i="5" s="1"/>
  <c r="BG20" i="16"/>
  <c r="HI19" i="5" s="1"/>
  <c r="HJ19" i="5" s="1"/>
  <c r="BF20" i="16"/>
  <c r="HE19" i="5" s="1"/>
  <c r="HF19" i="5" s="1"/>
  <c r="BE20" i="16"/>
  <c r="BD20" i="16"/>
  <c r="GW19" i="5" s="1"/>
  <c r="GX19" i="5" s="1"/>
  <c r="BC20" i="16"/>
  <c r="GS19" i="5" s="1"/>
  <c r="BB20" i="16"/>
  <c r="GO19" i="5" s="1"/>
  <c r="BA20" i="16"/>
  <c r="GK19" i="5" s="1"/>
  <c r="GL19" i="5" s="1"/>
  <c r="AZ20" i="16"/>
  <c r="GG19" i="5" s="1"/>
  <c r="GH19" i="5" s="1"/>
  <c r="AY20" i="16"/>
  <c r="GC19" i="5" s="1"/>
  <c r="GE19" i="5" s="1"/>
  <c r="AX20" i="16"/>
  <c r="FY19" i="5" s="1"/>
  <c r="GA19" i="5" s="1"/>
  <c r="AW20" i="16"/>
  <c r="AV20" i="16"/>
  <c r="FQ19" i="5" s="1"/>
  <c r="AU20" i="16"/>
  <c r="FM19" i="5" s="1"/>
  <c r="AT20" i="16"/>
  <c r="FI19" i="5" s="1"/>
  <c r="AS20" i="16"/>
  <c r="FE19" i="5" s="1"/>
  <c r="AR20" i="16"/>
  <c r="FA19" i="5" s="1"/>
  <c r="AO20" i="16"/>
  <c r="EO19" i="5" s="1"/>
  <c r="ER19" i="5" s="1"/>
  <c r="AN20" i="16"/>
  <c r="EK19" i="5" s="1"/>
  <c r="EN19" i="5" s="1"/>
  <c r="AM20" i="16"/>
  <c r="EG19" i="5" s="1"/>
  <c r="EH19" i="5" s="1"/>
  <c r="AL20" i="16"/>
  <c r="EC19" i="5" s="1"/>
  <c r="ED19" i="5" s="1"/>
  <c r="AK20" i="16"/>
  <c r="DY19" i="5" s="1"/>
  <c r="DZ19" i="5" s="1"/>
  <c r="AJ20" i="16"/>
  <c r="DU19" i="5" s="1"/>
  <c r="DV19" i="5" s="1"/>
  <c r="DM19" i="5"/>
  <c r="DN19" i="5" s="1"/>
  <c r="AG20" i="16"/>
  <c r="DI19" i="5" s="1"/>
  <c r="DJ19" i="5" s="1"/>
  <c r="AF20" i="16"/>
  <c r="DE19" i="5" s="1"/>
  <c r="DF19" i="5" s="1"/>
  <c r="AE20" i="16"/>
  <c r="AD20" i="16"/>
  <c r="CW19" i="5" s="1"/>
  <c r="AC20" i="16"/>
  <c r="CS19" i="5" s="1"/>
  <c r="CT19" i="5" s="1"/>
  <c r="AB20" i="16"/>
  <c r="CO19" i="5" s="1"/>
  <c r="CP19" i="5" s="1"/>
  <c r="AA20" i="16"/>
  <c r="Z20" i="16"/>
  <c r="CG19" i="5" s="1"/>
  <c r="CH19" i="5" s="1"/>
  <c r="Y20" i="16"/>
  <c r="CC19" i="5" s="1"/>
  <c r="CD19" i="5" s="1"/>
  <c r="X20" i="16"/>
  <c r="BY19" i="5" s="1"/>
  <c r="BZ19" i="5" s="1"/>
  <c r="W20" i="16"/>
  <c r="BU19" i="5" s="1"/>
  <c r="BV19" i="5" s="1"/>
  <c r="V20" i="16"/>
  <c r="U20" i="16"/>
  <c r="BM19" i="5" s="1"/>
  <c r="BN19" i="5" s="1"/>
  <c r="T20" i="16"/>
  <c r="BI19" i="5" s="1"/>
  <c r="BJ19" i="5" s="1"/>
  <c r="S20" i="16"/>
  <c r="BE19" i="5" s="1"/>
  <c r="R20" i="16"/>
  <c r="BA19" i="5" s="1"/>
  <c r="Q20" i="16"/>
  <c r="P20" i="16"/>
  <c r="AS19" i="5" s="1"/>
  <c r="AO19" i="5"/>
  <c r="AP19" i="5" s="1"/>
  <c r="AK19" i="5"/>
  <c r="AL19" i="5" s="1"/>
  <c r="G20" i="16"/>
  <c r="E20" i="16" s="1"/>
  <c r="F20" i="16"/>
  <c r="DE19" i="16"/>
  <c r="DD19" i="16"/>
  <c r="DC19" i="16"/>
  <c r="DB19" i="16"/>
  <c r="DA19" i="16"/>
  <c r="CZ19" i="16"/>
  <c r="CW19" i="16"/>
  <c r="CV19" i="16"/>
  <c r="CU19" i="16"/>
  <c r="CT19" i="16"/>
  <c r="CS19" i="16"/>
  <c r="CR19" i="16"/>
  <c r="CQ19" i="16"/>
  <c r="CP19" i="16"/>
  <c r="CO19" i="16"/>
  <c r="CN19" i="16"/>
  <c r="CM19" i="16"/>
  <c r="CL19" i="16"/>
  <c r="CJ19" i="16"/>
  <c r="CG19" i="16"/>
  <c r="LA18" i="5" s="1"/>
  <c r="CF19" i="16"/>
  <c r="KW18" i="5" s="1"/>
  <c r="CE19" i="16"/>
  <c r="CD19" i="16"/>
  <c r="KO18" i="5" s="1"/>
  <c r="CC19" i="16"/>
  <c r="KK18" i="5" s="1"/>
  <c r="CB19" i="16"/>
  <c r="KG18" i="5" s="1"/>
  <c r="CA19" i="16"/>
  <c r="KC18" i="5" s="1"/>
  <c r="KD18" i="5" s="1"/>
  <c r="BZ19" i="16"/>
  <c r="JY18" i="5" s="1"/>
  <c r="JZ18" i="5" s="1"/>
  <c r="BY19" i="16"/>
  <c r="JU18" i="5" s="1"/>
  <c r="JV18" i="5" s="1"/>
  <c r="BX19" i="16"/>
  <c r="JQ18" i="5" s="1"/>
  <c r="JR18" i="5" s="1"/>
  <c r="BW19" i="16"/>
  <c r="BV19" i="16"/>
  <c r="JI18" i="5" s="1"/>
  <c r="JJ18" i="5" s="1"/>
  <c r="BU19" i="16"/>
  <c r="JE18" i="5" s="1"/>
  <c r="BT19" i="16"/>
  <c r="JA18" i="5" s="1"/>
  <c r="BS19" i="16"/>
  <c r="IW18" i="5" s="1"/>
  <c r="IX18" i="5" s="1"/>
  <c r="BR19" i="16"/>
  <c r="IS18" i="5" s="1"/>
  <c r="IT18" i="5" s="1"/>
  <c r="BO19" i="16"/>
  <c r="IO18" i="5" s="1"/>
  <c r="BN19" i="16"/>
  <c r="IK18" i="5" s="1"/>
  <c r="BM19" i="16"/>
  <c r="BL19" i="16"/>
  <c r="IC18" i="5" s="1"/>
  <c r="BK19" i="16"/>
  <c r="HY18" i="5" s="1"/>
  <c r="HZ18" i="5" s="1"/>
  <c r="BJ19" i="16"/>
  <c r="HU18" i="5" s="1"/>
  <c r="HV18" i="5" s="1"/>
  <c r="BI19" i="16"/>
  <c r="BH19" i="16"/>
  <c r="HM18" i="5" s="1"/>
  <c r="BG19" i="16"/>
  <c r="HI18" i="5" s="1"/>
  <c r="HJ18" i="5" s="1"/>
  <c r="BF19" i="16"/>
  <c r="HE18" i="5" s="1"/>
  <c r="HF18" i="5" s="1"/>
  <c r="BE19" i="16"/>
  <c r="BD19" i="16"/>
  <c r="GW18" i="5" s="1"/>
  <c r="GX18" i="5" s="1"/>
  <c r="BC19" i="16"/>
  <c r="GS18" i="5" s="1"/>
  <c r="BB19" i="16"/>
  <c r="GO18" i="5" s="1"/>
  <c r="BA19" i="16"/>
  <c r="GK18" i="5" s="1"/>
  <c r="GL18" i="5" s="1"/>
  <c r="AZ19" i="16"/>
  <c r="GG18" i="5" s="1"/>
  <c r="GH18" i="5" s="1"/>
  <c r="AY19" i="16"/>
  <c r="GC18" i="5" s="1"/>
  <c r="GE18" i="5" s="1"/>
  <c r="AX19" i="16"/>
  <c r="FY18" i="5" s="1"/>
  <c r="GA18" i="5" s="1"/>
  <c r="AW19" i="16"/>
  <c r="AV19" i="16"/>
  <c r="FQ18" i="5" s="1"/>
  <c r="AU19" i="16"/>
  <c r="FM18" i="5" s="1"/>
  <c r="AT19" i="16"/>
  <c r="FI18" i="5" s="1"/>
  <c r="AS19" i="16"/>
  <c r="FE18" i="5" s="1"/>
  <c r="AR19" i="16"/>
  <c r="FA18" i="5" s="1"/>
  <c r="AO19" i="16"/>
  <c r="EO18" i="5" s="1"/>
  <c r="ER18" i="5" s="1"/>
  <c r="AN19" i="16"/>
  <c r="EK18" i="5" s="1"/>
  <c r="EN18" i="5" s="1"/>
  <c r="AM19" i="16"/>
  <c r="AL19" i="16"/>
  <c r="EC18" i="5" s="1"/>
  <c r="ED18" i="5" s="1"/>
  <c r="AK19" i="16"/>
  <c r="DY18" i="5" s="1"/>
  <c r="DZ18" i="5" s="1"/>
  <c r="AJ19" i="16"/>
  <c r="DU18" i="5" s="1"/>
  <c r="DV18" i="5" s="1"/>
  <c r="DQ18" i="5"/>
  <c r="DR18" i="5" s="1"/>
  <c r="DM18" i="5"/>
  <c r="DN18" i="5" s="1"/>
  <c r="AG19" i="16"/>
  <c r="DI18" i="5" s="1"/>
  <c r="DJ18" i="5" s="1"/>
  <c r="AF19" i="16"/>
  <c r="DE18" i="5" s="1"/>
  <c r="DF18" i="5" s="1"/>
  <c r="AE19" i="16"/>
  <c r="AD19" i="16"/>
  <c r="CW18" i="5" s="1"/>
  <c r="AC19" i="16"/>
  <c r="CS18" i="5" s="1"/>
  <c r="CT18" i="5" s="1"/>
  <c r="AB19" i="16"/>
  <c r="CO18" i="5" s="1"/>
  <c r="CP18" i="5" s="1"/>
  <c r="AA19" i="16"/>
  <c r="CK18" i="5" s="1"/>
  <c r="CL18" i="5" s="1"/>
  <c r="Z19" i="16"/>
  <c r="CG18" i="5" s="1"/>
  <c r="CH18" i="5" s="1"/>
  <c r="Y19" i="16"/>
  <c r="CC18" i="5" s="1"/>
  <c r="CD18" i="5" s="1"/>
  <c r="X19" i="16"/>
  <c r="BY18" i="5" s="1"/>
  <c r="BZ18" i="5" s="1"/>
  <c r="W19" i="16"/>
  <c r="V19" i="16"/>
  <c r="U19" i="16"/>
  <c r="BM18" i="5" s="1"/>
  <c r="BN18" i="5" s="1"/>
  <c r="T19" i="16"/>
  <c r="BI18" i="5" s="1"/>
  <c r="BJ18" i="5" s="1"/>
  <c r="S19" i="16"/>
  <c r="BE18" i="5" s="1"/>
  <c r="R19" i="16"/>
  <c r="BA18" i="5" s="1"/>
  <c r="Q19" i="16"/>
  <c r="P19" i="16"/>
  <c r="AS18" i="5" s="1"/>
  <c r="AK18" i="5"/>
  <c r="AL18" i="5" s="1"/>
  <c r="G19" i="16"/>
  <c r="E19" i="16" s="1"/>
  <c r="F19" i="16"/>
  <c r="DE18" i="16"/>
  <c r="DD18" i="16"/>
  <c r="DC18" i="16"/>
  <c r="DB18" i="16"/>
  <c r="DA18" i="16"/>
  <c r="CZ18" i="16"/>
  <c r="CW18" i="16"/>
  <c r="CV18" i="16"/>
  <c r="CU18" i="16"/>
  <c r="CT18" i="16"/>
  <c r="CS18" i="16"/>
  <c r="CR18" i="16"/>
  <c r="CQ18" i="16"/>
  <c r="CP18" i="16"/>
  <c r="CO18" i="16"/>
  <c r="CN18" i="16"/>
  <c r="CM18" i="16"/>
  <c r="CL18" i="16"/>
  <c r="CJ18" i="16"/>
  <c r="CG18" i="16"/>
  <c r="LA17" i="5" s="1"/>
  <c r="CF18" i="16"/>
  <c r="KW17" i="5" s="1"/>
  <c r="CE18" i="16"/>
  <c r="KS17" i="5" s="1"/>
  <c r="CD18" i="16"/>
  <c r="KO17" i="5" s="1"/>
  <c r="CC18" i="16"/>
  <c r="KK17" i="5" s="1"/>
  <c r="CB18" i="16"/>
  <c r="KG17" i="5" s="1"/>
  <c r="CA18" i="16"/>
  <c r="KC17" i="5" s="1"/>
  <c r="KD17" i="5" s="1"/>
  <c r="BZ18" i="16"/>
  <c r="JY17" i="5" s="1"/>
  <c r="JZ17" i="5" s="1"/>
  <c r="BY18" i="16"/>
  <c r="JU17" i="5" s="1"/>
  <c r="JV17" i="5" s="1"/>
  <c r="BX18" i="16"/>
  <c r="JQ17" i="5" s="1"/>
  <c r="JR17" i="5" s="1"/>
  <c r="BW18" i="16"/>
  <c r="JM17" i="5" s="1"/>
  <c r="JN17" i="5" s="1"/>
  <c r="BV18" i="16"/>
  <c r="JI17" i="5" s="1"/>
  <c r="JJ17" i="5" s="1"/>
  <c r="BU18" i="16"/>
  <c r="JE17" i="5" s="1"/>
  <c r="BT18" i="16"/>
  <c r="JA17" i="5" s="1"/>
  <c r="BS18" i="16"/>
  <c r="IW17" i="5" s="1"/>
  <c r="IX17" i="5" s="1"/>
  <c r="BR18" i="16"/>
  <c r="IS17" i="5" s="1"/>
  <c r="IT17" i="5" s="1"/>
  <c r="BO18" i="16"/>
  <c r="IO17" i="5" s="1"/>
  <c r="BN18" i="16"/>
  <c r="IK17" i="5" s="1"/>
  <c r="BM18" i="16"/>
  <c r="BL18" i="16"/>
  <c r="IC17" i="5" s="1"/>
  <c r="BK18" i="16"/>
  <c r="HY17" i="5" s="1"/>
  <c r="HZ17" i="5" s="1"/>
  <c r="BJ18" i="16"/>
  <c r="HU17" i="5" s="1"/>
  <c r="HV17" i="5" s="1"/>
  <c r="BI18" i="16"/>
  <c r="BH18" i="16"/>
  <c r="HM17" i="5" s="1"/>
  <c r="BG18" i="16"/>
  <c r="HI17" i="5" s="1"/>
  <c r="HJ17" i="5" s="1"/>
  <c r="BF18" i="16"/>
  <c r="HE17" i="5" s="1"/>
  <c r="HF17" i="5" s="1"/>
  <c r="BE18" i="16"/>
  <c r="HA17" i="5" s="1"/>
  <c r="HB17" i="5" s="1"/>
  <c r="BD18" i="16"/>
  <c r="GW17" i="5" s="1"/>
  <c r="GX17" i="5" s="1"/>
  <c r="BC18" i="16"/>
  <c r="GS17" i="5" s="1"/>
  <c r="BB18" i="16"/>
  <c r="GO17" i="5" s="1"/>
  <c r="BA18" i="16"/>
  <c r="GK17" i="5" s="1"/>
  <c r="GL17" i="5" s="1"/>
  <c r="AZ18" i="16"/>
  <c r="GG17" i="5" s="1"/>
  <c r="GH17" i="5" s="1"/>
  <c r="AY18" i="16"/>
  <c r="GC17" i="5" s="1"/>
  <c r="GE17" i="5" s="1"/>
  <c r="AX18" i="16"/>
  <c r="FY17" i="5" s="1"/>
  <c r="GA17" i="5" s="1"/>
  <c r="AW18" i="16"/>
  <c r="AV18" i="16"/>
  <c r="FQ17" i="5" s="1"/>
  <c r="AU18" i="16"/>
  <c r="FM17" i="5" s="1"/>
  <c r="AT18" i="16"/>
  <c r="FI17" i="5" s="1"/>
  <c r="AS18" i="16"/>
  <c r="FE17" i="5" s="1"/>
  <c r="AR18" i="16"/>
  <c r="FA17" i="5" s="1"/>
  <c r="AO18" i="16"/>
  <c r="EO17" i="5" s="1"/>
  <c r="ER17" i="5" s="1"/>
  <c r="AN18" i="16"/>
  <c r="EK17" i="5" s="1"/>
  <c r="EN17" i="5" s="1"/>
  <c r="AM18" i="16"/>
  <c r="EG17" i="5" s="1"/>
  <c r="EH17" i="5" s="1"/>
  <c r="AL18" i="16"/>
  <c r="EC17" i="5" s="1"/>
  <c r="ED17" i="5" s="1"/>
  <c r="AK18" i="16"/>
  <c r="DY17" i="5" s="1"/>
  <c r="DZ17" i="5" s="1"/>
  <c r="AJ18" i="16"/>
  <c r="DU17" i="5" s="1"/>
  <c r="DV17" i="5" s="1"/>
  <c r="DM17" i="5"/>
  <c r="DN17" i="5" s="1"/>
  <c r="AG18" i="16"/>
  <c r="AF18" i="16"/>
  <c r="DE17" i="5" s="1"/>
  <c r="DF17" i="5" s="1"/>
  <c r="AE18" i="16"/>
  <c r="DA17" i="5" s="1"/>
  <c r="AD18" i="16"/>
  <c r="CW17" i="5" s="1"/>
  <c r="AC18" i="16"/>
  <c r="CS17" i="5" s="1"/>
  <c r="CT17" i="5" s="1"/>
  <c r="AB18" i="16"/>
  <c r="CO17" i="5" s="1"/>
  <c r="CP17" i="5" s="1"/>
  <c r="AA18" i="16"/>
  <c r="Z18" i="16"/>
  <c r="CG17" i="5" s="1"/>
  <c r="CH17" i="5" s="1"/>
  <c r="Y18" i="16"/>
  <c r="X18" i="16"/>
  <c r="BY17" i="5" s="1"/>
  <c r="BZ17" i="5" s="1"/>
  <c r="W18" i="16"/>
  <c r="BU17" i="5" s="1"/>
  <c r="BV17" i="5" s="1"/>
  <c r="V18" i="16"/>
  <c r="U18" i="16"/>
  <c r="BM17" i="5" s="1"/>
  <c r="BN17" i="5" s="1"/>
  <c r="T18" i="16"/>
  <c r="BI17" i="5" s="1"/>
  <c r="BJ17" i="5" s="1"/>
  <c r="S18" i="16"/>
  <c r="R18" i="16"/>
  <c r="BA17" i="5" s="1"/>
  <c r="Q18" i="16"/>
  <c r="P18" i="16"/>
  <c r="AS17" i="5" s="1"/>
  <c r="AO17" i="5"/>
  <c r="AP17" i="5" s="1"/>
  <c r="AK17" i="5"/>
  <c r="AL17" i="5" s="1"/>
  <c r="G18" i="16"/>
  <c r="F18" i="16"/>
  <c r="DE17" i="16"/>
  <c r="DD17" i="16"/>
  <c r="DC17" i="16"/>
  <c r="DB17" i="16"/>
  <c r="DA17" i="16"/>
  <c r="CZ17" i="16"/>
  <c r="CW17" i="16"/>
  <c r="CV17" i="16"/>
  <c r="CU17" i="16"/>
  <c r="CT17" i="16"/>
  <c r="CS17" i="16"/>
  <c r="CR17" i="16"/>
  <c r="CQ17" i="16"/>
  <c r="CP17" i="16"/>
  <c r="CO17" i="16"/>
  <c r="CN17" i="16"/>
  <c r="CM17" i="16"/>
  <c r="CL17" i="16"/>
  <c r="CJ17" i="16"/>
  <c r="CG17" i="16"/>
  <c r="LA16" i="5" s="1"/>
  <c r="CF17" i="16"/>
  <c r="KW16" i="5" s="1"/>
  <c r="CE17" i="16"/>
  <c r="CD17" i="16"/>
  <c r="KO16" i="5" s="1"/>
  <c r="CC17" i="16"/>
  <c r="KK16" i="5" s="1"/>
  <c r="CB17" i="16"/>
  <c r="KG16" i="5" s="1"/>
  <c r="CA17" i="16"/>
  <c r="KC16" i="5" s="1"/>
  <c r="KD16" i="5" s="1"/>
  <c r="BZ17" i="16"/>
  <c r="JY16" i="5" s="1"/>
  <c r="JZ16" i="5" s="1"/>
  <c r="BY17" i="16"/>
  <c r="JU16" i="5" s="1"/>
  <c r="JV16" i="5" s="1"/>
  <c r="BX17" i="16"/>
  <c r="JQ16" i="5" s="1"/>
  <c r="JR16" i="5" s="1"/>
  <c r="BW17" i="16"/>
  <c r="BV17" i="16"/>
  <c r="JI16" i="5" s="1"/>
  <c r="JJ16" i="5" s="1"/>
  <c r="BU17" i="16"/>
  <c r="JE16" i="5" s="1"/>
  <c r="BT17" i="16"/>
  <c r="JA16" i="5" s="1"/>
  <c r="BS17" i="16"/>
  <c r="IW16" i="5" s="1"/>
  <c r="IX16" i="5" s="1"/>
  <c r="BR17" i="16"/>
  <c r="IS16" i="5" s="1"/>
  <c r="IT16" i="5" s="1"/>
  <c r="BO17" i="16"/>
  <c r="IO16" i="5" s="1"/>
  <c r="BN17" i="16"/>
  <c r="IK16" i="5" s="1"/>
  <c r="BM17" i="16"/>
  <c r="BL17" i="16"/>
  <c r="IC16" i="5" s="1"/>
  <c r="BK17" i="16"/>
  <c r="HY16" i="5" s="1"/>
  <c r="HZ16" i="5" s="1"/>
  <c r="BJ17" i="16"/>
  <c r="HU16" i="5" s="1"/>
  <c r="HV16" i="5" s="1"/>
  <c r="BI17" i="16"/>
  <c r="HQ16" i="5" s="1"/>
  <c r="BH17" i="16"/>
  <c r="HM16" i="5" s="1"/>
  <c r="BG17" i="16"/>
  <c r="HI16" i="5" s="1"/>
  <c r="HJ16" i="5" s="1"/>
  <c r="BF17" i="16"/>
  <c r="HE16" i="5" s="1"/>
  <c r="HF16" i="5" s="1"/>
  <c r="BE17" i="16"/>
  <c r="BD17" i="16"/>
  <c r="GW16" i="5" s="1"/>
  <c r="GX16" i="5" s="1"/>
  <c r="BC17" i="16"/>
  <c r="GS16" i="5" s="1"/>
  <c r="BB17" i="16"/>
  <c r="GO16" i="5" s="1"/>
  <c r="BA17" i="16"/>
  <c r="GK16" i="5" s="1"/>
  <c r="GL16" i="5" s="1"/>
  <c r="AZ17" i="16"/>
  <c r="GG16" i="5" s="1"/>
  <c r="GH16" i="5" s="1"/>
  <c r="AY17" i="16"/>
  <c r="GC16" i="5" s="1"/>
  <c r="GE16" i="5" s="1"/>
  <c r="AX17" i="16"/>
  <c r="FY16" i="5" s="1"/>
  <c r="GA16" i="5" s="1"/>
  <c r="AW17" i="16"/>
  <c r="AV17" i="16"/>
  <c r="FQ16" i="5" s="1"/>
  <c r="AU17" i="16"/>
  <c r="FM16" i="5" s="1"/>
  <c r="AT17" i="16"/>
  <c r="FI16" i="5" s="1"/>
  <c r="AS17" i="16"/>
  <c r="FE16" i="5" s="1"/>
  <c r="AR17" i="16"/>
  <c r="FA16" i="5" s="1"/>
  <c r="AO17" i="16"/>
  <c r="EO16" i="5" s="1"/>
  <c r="ER16" i="5" s="1"/>
  <c r="AN17" i="16"/>
  <c r="EK16" i="5" s="1"/>
  <c r="EN16" i="5" s="1"/>
  <c r="AM17" i="16"/>
  <c r="EG16" i="5" s="1"/>
  <c r="EH16" i="5" s="1"/>
  <c r="AL17" i="16"/>
  <c r="EC16" i="5" s="1"/>
  <c r="ED16" i="5" s="1"/>
  <c r="AK17" i="16"/>
  <c r="DY16" i="5" s="1"/>
  <c r="DZ16" i="5" s="1"/>
  <c r="AJ17" i="16"/>
  <c r="DU16" i="5" s="1"/>
  <c r="DV16" i="5" s="1"/>
  <c r="DQ16" i="5"/>
  <c r="DR16" i="5" s="1"/>
  <c r="DM16" i="5"/>
  <c r="DN16" i="5" s="1"/>
  <c r="AG17" i="16"/>
  <c r="DI16" i="5" s="1"/>
  <c r="DJ16" i="5" s="1"/>
  <c r="AF17" i="16"/>
  <c r="DE16" i="5" s="1"/>
  <c r="DF16" i="5" s="1"/>
  <c r="AE17" i="16"/>
  <c r="DA16" i="5" s="1"/>
  <c r="AD17" i="16"/>
  <c r="CW16" i="5" s="1"/>
  <c r="AC17" i="16"/>
  <c r="CS16" i="5" s="1"/>
  <c r="CT16" i="5" s="1"/>
  <c r="AB17" i="16"/>
  <c r="CO16" i="5" s="1"/>
  <c r="CP16" i="5" s="1"/>
  <c r="AA17" i="16"/>
  <c r="CK16" i="5" s="1"/>
  <c r="CL16" i="5" s="1"/>
  <c r="Z17" i="16"/>
  <c r="CG16" i="5" s="1"/>
  <c r="CH16" i="5" s="1"/>
  <c r="Y17" i="16"/>
  <c r="CC16" i="5" s="1"/>
  <c r="CD16" i="5" s="1"/>
  <c r="X17" i="16"/>
  <c r="BY16" i="5" s="1"/>
  <c r="BZ16" i="5" s="1"/>
  <c r="W17" i="16"/>
  <c r="BU16" i="5" s="1"/>
  <c r="BV16" i="5" s="1"/>
  <c r="V17" i="16"/>
  <c r="U17" i="16"/>
  <c r="BM16" i="5" s="1"/>
  <c r="BN16" i="5" s="1"/>
  <c r="T17" i="16"/>
  <c r="BI16" i="5" s="1"/>
  <c r="BJ16" i="5" s="1"/>
  <c r="S17" i="16"/>
  <c r="BE16" i="5" s="1"/>
  <c r="R17" i="16"/>
  <c r="BA16" i="5" s="1"/>
  <c r="Q17" i="16"/>
  <c r="P17" i="16"/>
  <c r="AS16" i="5" s="1"/>
  <c r="AO16" i="5"/>
  <c r="AP16" i="5" s="1"/>
  <c r="AK16" i="5"/>
  <c r="AL16" i="5" s="1"/>
  <c r="G17" i="16"/>
  <c r="E17" i="16" s="1"/>
  <c r="F17" i="16"/>
  <c r="DE16" i="16"/>
  <c r="DD16" i="16"/>
  <c r="DC16" i="16"/>
  <c r="DB16" i="16"/>
  <c r="DA16" i="16"/>
  <c r="CZ16" i="16"/>
  <c r="CW16" i="16"/>
  <c r="CV16" i="16"/>
  <c r="CU16" i="16"/>
  <c r="CT16" i="16"/>
  <c r="CS16" i="16"/>
  <c r="CR16" i="16"/>
  <c r="CQ16" i="16"/>
  <c r="CP16" i="16"/>
  <c r="CO16" i="16"/>
  <c r="CN16" i="16"/>
  <c r="CM16" i="16"/>
  <c r="CL16" i="16"/>
  <c r="CJ16" i="16"/>
  <c r="CG16" i="16"/>
  <c r="CF16" i="16"/>
  <c r="KW15" i="5" s="1"/>
  <c r="CE16" i="16"/>
  <c r="CD16" i="16"/>
  <c r="KO15" i="5" s="1"/>
  <c r="CC16" i="16"/>
  <c r="KK15" i="5" s="1"/>
  <c r="CB16" i="16"/>
  <c r="KG15" i="5" s="1"/>
  <c r="CA16" i="16"/>
  <c r="BZ16" i="16"/>
  <c r="JY15" i="5" s="1"/>
  <c r="JZ15" i="5" s="1"/>
  <c r="BY16" i="16"/>
  <c r="JU15" i="5" s="1"/>
  <c r="JV15" i="5" s="1"/>
  <c r="BX16" i="16"/>
  <c r="JQ15" i="5" s="1"/>
  <c r="JR15" i="5" s="1"/>
  <c r="BW16" i="16"/>
  <c r="BV16" i="16"/>
  <c r="JI15" i="5" s="1"/>
  <c r="JJ15" i="5" s="1"/>
  <c r="BU16" i="16"/>
  <c r="JE15" i="5" s="1"/>
  <c r="BT16" i="16"/>
  <c r="JA15" i="5" s="1"/>
  <c r="BS16" i="16"/>
  <c r="BR16" i="16"/>
  <c r="IS15" i="5" s="1"/>
  <c r="IT15" i="5" s="1"/>
  <c r="BO16" i="16"/>
  <c r="BN16" i="16"/>
  <c r="IK15" i="5" s="1"/>
  <c r="BM16" i="16"/>
  <c r="BL16" i="16"/>
  <c r="IC15" i="5" s="1"/>
  <c r="BK16" i="16"/>
  <c r="HY15" i="5" s="1"/>
  <c r="HZ15" i="5" s="1"/>
  <c r="BJ16" i="16"/>
  <c r="HU15" i="5" s="1"/>
  <c r="HV15" i="5" s="1"/>
  <c r="BI16" i="16"/>
  <c r="O16" i="16" s="1"/>
  <c r="BH16" i="16"/>
  <c r="HM15" i="5" s="1"/>
  <c r="BG16" i="16"/>
  <c r="BF16" i="16"/>
  <c r="HE15" i="5" s="1"/>
  <c r="HF15" i="5" s="1"/>
  <c r="BE16" i="16"/>
  <c r="BD16" i="16"/>
  <c r="GW15" i="5" s="1"/>
  <c r="GX15" i="5" s="1"/>
  <c r="BC16" i="16"/>
  <c r="GS15" i="5" s="1"/>
  <c r="BB16" i="16"/>
  <c r="GO15" i="5" s="1"/>
  <c r="BA16" i="16"/>
  <c r="AZ16" i="16"/>
  <c r="GG15" i="5" s="1"/>
  <c r="GH15" i="5" s="1"/>
  <c r="AY16" i="16"/>
  <c r="AX16" i="16"/>
  <c r="FY15" i="5" s="1"/>
  <c r="GA15" i="5" s="1"/>
  <c r="AW16" i="16"/>
  <c r="AV16" i="16"/>
  <c r="FQ15" i="5" s="1"/>
  <c r="AU16" i="16"/>
  <c r="AT16" i="16"/>
  <c r="FI15" i="5" s="1"/>
  <c r="AS16" i="16"/>
  <c r="AR16" i="16"/>
  <c r="FA15" i="5" s="1"/>
  <c r="AO16" i="16"/>
  <c r="EO15" i="5" s="1"/>
  <c r="ER15" i="5" s="1"/>
  <c r="AN16" i="16"/>
  <c r="EK15" i="5" s="1"/>
  <c r="EN15" i="5" s="1"/>
  <c r="AM16" i="16"/>
  <c r="EG15" i="5" s="1"/>
  <c r="EH15" i="5" s="1"/>
  <c r="AL16" i="16"/>
  <c r="EC15" i="5" s="1"/>
  <c r="ED15" i="5" s="1"/>
  <c r="AK16" i="16"/>
  <c r="AJ16" i="16"/>
  <c r="DU15" i="5" s="1"/>
  <c r="DV15" i="5" s="1"/>
  <c r="DM15" i="5"/>
  <c r="DN15" i="5" s="1"/>
  <c r="AG16" i="16"/>
  <c r="DI15" i="5" s="1"/>
  <c r="DJ15" i="5" s="1"/>
  <c r="AF16" i="16"/>
  <c r="DE15" i="5" s="1"/>
  <c r="DF15" i="5" s="1"/>
  <c r="AE16" i="16"/>
  <c r="DA15" i="5" s="1"/>
  <c r="AD16" i="16"/>
  <c r="CW15" i="5" s="1"/>
  <c r="AC16" i="16"/>
  <c r="CS15" i="5" s="1"/>
  <c r="CT15" i="5" s="1"/>
  <c r="AB16" i="16"/>
  <c r="CO15" i="5" s="1"/>
  <c r="CP15" i="5" s="1"/>
  <c r="AA16" i="16"/>
  <c r="CK15" i="5" s="1"/>
  <c r="CL15" i="5" s="1"/>
  <c r="Z16" i="16"/>
  <c r="CG15" i="5" s="1"/>
  <c r="CH15" i="5" s="1"/>
  <c r="Y16" i="16"/>
  <c r="CC15" i="5" s="1"/>
  <c r="CD15" i="5" s="1"/>
  <c r="X16" i="16"/>
  <c r="BY15" i="5" s="1"/>
  <c r="BZ15" i="5" s="1"/>
  <c r="W16" i="16"/>
  <c r="BU15" i="5" s="1"/>
  <c r="BV15" i="5" s="1"/>
  <c r="V16" i="16"/>
  <c r="U16" i="16"/>
  <c r="BM15" i="5" s="1"/>
  <c r="BN15" i="5" s="1"/>
  <c r="T16" i="16"/>
  <c r="BI15" i="5" s="1"/>
  <c r="BJ15" i="5" s="1"/>
  <c r="S16" i="16"/>
  <c r="BE15" i="5" s="1"/>
  <c r="R16" i="16"/>
  <c r="BA15" i="5" s="1"/>
  <c r="Q16" i="16"/>
  <c r="P16" i="16"/>
  <c r="AS15" i="5" s="1"/>
  <c r="AO15" i="5"/>
  <c r="AP15" i="5" s="1"/>
  <c r="AK15" i="5"/>
  <c r="AL15" i="5" s="1"/>
  <c r="G16" i="16"/>
  <c r="F16" i="16"/>
  <c r="DE15" i="16"/>
  <c r="DD15" i="16"/>
  <c r="DC15" i="16"/>
  <c r="DB15" i="16"/>
  <c r="DA15" i="16"/>
  <c r="CZ15" i="16"/>
  <c r="CW15" i="16"/>
  <c r="CV15" i="16"/>
  <c r="CU15" i="16"/>
  <c r="CT15" i="16"/>
  <c r="CS15" i="16"/>
  <c r="CR15" i="16"/>
  <c r="CQ15" i="16"/>
  <c r="CP15" i="16"/>
  <c r="CO15" i="16"/>
  <c r="CN15" i="16"/>
  <c r="CM15" i="16"/>
  <c r="CL15" i="16"/>
  <c r="CJ15" i="16"/>
  <c r="CG15" i="16"/>
  <c r="CF15" i="16"/>
  <c r="KW14" i="5" s="1"/>
  <c r="KX14" i="5" s="1"/>
  <c r="CE15" i="16"/>
  <c r="CD15" i="16"/>
  <c r="KO14" i="5" s="1"/>
  <c r="CC15" i="16"/>
  <c r="KK14" i="5" s="1"/>
  <c r="CB15" i="16"/>
  <c r="KG14" i="5" s="1"/>
  <c r="CA15" i="16"/>
  <c r="BZ15" i="16"/>
  <c r="JY14" i="5" s="1"/>
  <c r="JZ14" i="5" s="1"/>
  <c r="BY15" i="16"/>
  <c r="JU14" i="5" s="1"/>
  <c r="JV14" i="5" s="1"/>
  <c r="BX15" i="16"/>
  <c r="JQ14" i="5" s="1"/>
  <c r="JR14" i="5" s="1"/>
  <c r="BW15" i="16"/>
  <c r="BV15" i="16"/>
  <c r="JI14" i="5" s="1"/>
  <c r="JJ14" i="5" s="1"/>
  <c r="BU15" i="16"/>
  <c r="BT15" i="16"/>
  <c r="JA14" i="5" s="1"/>
  <c r="BS15" i="16"/>
  <c r="BR15" i="16"/>
  <c r="IS14" i="5" s="1"/>
  <c r="IT14" i="5" s="1"/>
  <c r="BO15" i="16"/>
  <c r="IO14" i="5" s="1"/>
  <c r="BN15" i="16"/>
  <c r="IK14" i="5" s="1"/>
  <c r="BM15" i="16"/>
  <c r="BL15" i="16"/>
  <c r="IC14" i="5" s="1"/>
  <c r="BK15" i="16"/>
  <c r="BJ15" i="16"/>
  <c r="HU14" i="5" s="1"/>
  <c r="HV14" i="5" s="1"/>
  <c r="BI15" i="16"/>
  <c r="O15" i="16" s="1"/>
  <c r="BH15" i="16"/>
  <c r="HM14" i="5" s="1"/>
  <c r="BG15" i="16"/>
  <c r="HI14" i="5" s="1"/>
  <c r="HJ14" i="5" s="1"/>
  <c r="BF15" i="16"/>
  <c r="HE14" i="5" s="1"/>
  <c r="HF14" i="5" s="1"/>
  <c r="BE15" i="16"/>
  <c r="BD15" i="16"/>
  <c r="GW14" i="5" s="1"/>
  <c r="GX14" i="5" s="1"/>
  <c r="BC15" i="16"/>
  <c r="BB15" i="16"/>
  <c r="GO14" i="5" s="1"/>
  <c r="BA15" i="16"/>
  <c r="AZ15" i="16"/>
  <c r="GG14" i="5" s="1"/>
  <c r="GH14" i="5" s="1"/>
  <c r="AY15" i="16"/>
  <c r="GC14" i="5" s="1"/>
  <c r="GE14" i="5" s="1"/>
  <c r="AX15" i="16"/>
  <c r="FY14" i="5" s="1"/>
  <c r="GA14" i="5" s="1"/>
  <c r="AW15" i="16"/>
  <c r="AV15" i="16"/>
  <c r="FQ14" i="5" s="1"/>
  <c r="AU15" i="16"/>
  <c r="AT15" i="16"/>
  <c r="FI14" i="5" s="1"/>
  <c r="AS15" i="16"/>
  <c r="AR15" i="16"/>
  <c r="FA14" i="5" s="1"/>
  <c r="AO15" i="16"/>
  <c r="AN15" i="16"/>
  <c r="EK14" i="5" s="1"/>
  <c r="EN14" i="5" s="1"/>
  <c r="AM15" i="16"/>
  <c r="AL15" i="16"/>
  <c r="EC14" i="5" s="1"/>
  <c r="ED14" i="5" s="1"/>
  <c r="AK15" i="16"/>
  <c r="AJ15" i="16"/>
  <c r="DU14" i="5" s="1"/>
  <c r="DV14" i="5" s="1"/>
  <c r="DQ14" i="5"/>
  <c r="DR14" i="5" s="1"/>
  <c r="DM14" i="5"/>
  <c r="DN14" i="5" s="1"/>
  <c r="AG15" i="16"/>
  <c r="AF15" i="16"/>
  <c r="DE14" i="5" s="1"/>
  <c r="DF14" i="5" s="1"/>
  <c r="AE15" i="16"/>
  <c r="AD15" i="16"/>
  <c r="CW14" i="5" s="1"/>
  <c r="AC15" i="16"/>
  <c r="AB15" i="16"/>
  <c r="CO14" i="5" s="1"/>
  <c r="CP14" i="5" s="1"/>
  <c r="AA15" i="16"/>
  <c r="CK14" i="5" s="1"/>
  <c r="CL14" i="5" s="1"/>
  <c r="Z15" i="16"/>
  <c r="CG14" i="5" s="1"/>
  <c r="CH14" i="5" s="1"/>
  <c r="Y15" i="16"/>
  <c r="X15" i="16"/>
  <c r="BY14" i="5" s="1"/>
  <c r="BZ14" i="5" s="1"/>
  <c r="W15" i="16"/>
  <c r="V15" i="16"/>
  <c r="U15" i="16"/>
  <c r="T15" i="16"/>
  <c r="BI14" i="5" s="1"/>
  <c r="BJ14" i="5" s="1"/>
  <c r="S15" i="16"/>
  <c r="BE14" i="5" s="1"/>
  <c r="R15" i="16"/>
  <c r="BA14" i="5" s="1"/>
  <c r="Q15" i="16"/>
  <c r="P15" i="16"/>
  <c r="AS14" i="5" s="1"/>
  <c r="AK14" i="5"/>
  <c r="AL14" i="5" s="1"/>
  <c r="G15" i="16"/>
  <c r="E15" i="16" s="1"/>
  <c r="F15" i="16"/>
  <c r="DE14" i="16"/>
  <c r="DD14" i="16"/>
  <c r="DC14" i="16"/>
  <c r="DB14" i="16"/>
  <c r="DA14" i="16"/>
  <c r="CZ14" i="16"/>
  <c r="CW14" i="16"/>
  <c r="CV14" i="16"/>
  <c r="CU14" i="16"/>
  <c r="CT14" i="16"/>
  <c r="CS14" i="16"/>
  <c r="CR14" i="16"/>
  <c r="CQ14" i="16"/>
  <c r="CP14" i="16"/>
  <c r="CO14" i="16"/>
  <c r="CN14" i="16"/>
  <c r="CM14" i="16"/>
  <c r="CL14" i="16"/>
  <c r="CJ14" i="16"/>
  <c r="CG14" i="16"/>
  <c r="CF14" i="16"/>
  <c r="KW13" i="5" s="1"/>
  <c r="CE14" i="16"/>
  <c r="CD14" i="16"/>
  <c r="KO13" i="5" s="1"/>
  <c r="CC14" i="16"/>
  <c r="CB14" i="16"/>
  <c r="KG13" i="5" s="1"/>
  <c r="CA14" i="16"/>
  <c r="BZ14" i="16"/>
  <c r="JY13" i="5" s="1"/>
  <c r="JZ13" i="5" s="1"/>
  <c r="BY14" i="16"/>
  <c r="JU13" i="5" s="1"/>
  <c r="JV13" i="5" s="1"/>
  <c r="BX14" i="16"/>
  <c r="JQ13" i="5" s="1"/>
  <c r="JR13" i="5" s="1"/>
  <c r="BW14" i="16"/>
  <c r="BV14" i="16"/>
  <c r="JI13" i="5" s="1"/>
  <c r="JJ13" i="5" s="1"/>
  <c r="BU14" i="16"/>
  <c r="JE13" i="5" s="1"/>
  <c r="BT14" i="16"/>
  <c r="JA13" i="5" s="1"/>
  <c r="BS14" i="16"/>
  <c r="IW13" i="5" s="1"/>
  <c r="IX13" i="5" s="1"/>
  <c r="BR14" i="16"/>
  <c r="IS13" i="5" s="1"/>
  <c r="IT13" i="5" s="1"/>
  <c r="BO14" i="16"/>
  <c r="IO13" i="5" s="1"/>
  <c r="BN14" i="16"/>
  <c r="IK13" i="5" s="1"/>
  <c r="BM14" i="16"/>
  <c r="BL14" i="16"/>
  <c r="IC13" i="5" s="1"/>
  <c r="BK14" i="16"/>
  <c r="HY13" i="5" s="1"/>
  <c r="HZ13" i="5" s="1"/>
  <c r="BJ14" i="16"/>
  <c r="HU13" i="5" s="1"/>
  <c r="HV13" i="5" s="1"/>
  <c r="BI14" i="16"/>
  <c r="HQ13" i="5" s="1"/>
  <c r="BH14" i="16"/>
  <c r="HM13" i="5" s="1"/>
  <c r="BG14" i="16"/>
  <c r="HI13" i="5" s="1"/>
  <c r="HJ13" i="5" s="1"/>
  <c r="BF14" i="16"/>
  <c r="HE13" i="5" s="1"/>
  <c r="HF13" i="5" s="1"/>
  <c r="BE14" i="16"/>
  <c r="BD14" i="16"/>
  <c r="GW13" i="5" s="1"/>
  <c r="GX13" i="5" s="1"/>
  <c r="BC14" i="16"/>
  <c r="GS13" i="5" s="1"/>
  <c r="BB14" i="16"/>
  <c r="GO13" i="5" s="1"/>
  <c r="BA14" i="16"/>
  <c r="GK13" i="5" s="1"/>
  <c r="GL13" i="5" s="1"/>
  <c r="AZ14" i="16"/>
  <c r="GG13" i="5" s="1"/>
  <c r="GH13" i="5" s="1"/>
  <c r="AY14" i="16"/>
  <c r="AX14" i="16"/>
  <c r="FY13" i="5" s="1"/>
  <c r="GA13" i="5" s="1"/>
  <c r="AW14" i="16"/>
  <c r="AV14" i="16"/>
  <c r="FQ13" i="5" s="1"/>
  <c r="AU14" i="16"/>
  <c r="FM13" i="5" s="1"/>
  <c r="AT14" i="16"/>
  <c r="FI13" i="5" s="1"/>
  <c r="AS14" i="16"/>
  <c r="FE13" i="5" s="1"/>
  <c r="AR14" i="16"/>
  <c r="FA13" i="5" s="1"/>
  <c r="AO14" i="16"/>
  <c r="AN14" i="16"/>
  <c r="EK13" i="5" s="1"/>
  <c r="EN13" i="5" s="1"/>
  <c r="AM14" i="16"/>
  <c r="EG13" i="5" s="1"/>
  <c r="EH13" i="5" s="1"/>
  <c r="AL14" i="16"/>
  <c r="EC13" i="5" s="1"/>
  <c r="ED13" i="5" s="1"/>
  <c r="AK14" i="16"/>
  <c r="DY13" i="5" s="1"/>
  <c r="DZ13" i="5" s="1"/>
  <c r="AJ14" i="16"/>
  <c r="DU13" i="5" s="1"/>
  <c r="DV13" i="5" s="1"/>
  <c r="DM13" i="5"/>
  <c r="DN13" i="5" s="1"/>
  <c r="AG14" i="16"/>
  <c r="DI13" i="5" s="1"/>
  <c r="DJ13" i="5" s="1"/>
  <c r="AF14" i="16"/>
  <c r="DE13" i="5" s="1"/>
  <c r="DF13" i="5" s="1"/>
  <c r="AE14" i="16"/>
  <c r="DA13" i="5" s="1"/>
  <c r="AD14" i="16"/>
  <c r="CW13" i="5" s="1"/>
  <c r="AC14" i="16"/>
  <c r="CS13" i="5" s="1"/>
  <c r="CT13" i="5" s="1"/>
  <c r="AB14" i="16"/>
  <c r="CO13" i="5" s="1"/>
  <c r="CP13" i="5" s="1"/>
  <c r="AA14" i="16"/>
  <c r="CK13" i="5" s="1"/>
  <c r="CL13" i="5" s="1"/>
  <c r="Z14" i="16"/>
  <c r="CG13" i="5" s="1"/>
  <c r="CH13" i="5" s="1"/>
  <c r="Y14" i="16"/>
  <c r="X14" i="16"/>
  <c r="BY13" i="5" s="1"/>
  <c r="BZ13" i="5" s="1"/>
  <c r="W14" i="16"/>
  <c r="BU13" i="5" s="1"/>
  <c r="BV13" i="5" s="1"/>
  <c r="V14" i="16"/>
  <c r="U14" i="16"/>
  <c r="BM13" i="5" s="1"/>
  <c r="BN13" i="5" s="1"/>
  <c r="T14" i="16"/>
  <c r="BI13" i="5" s="1"/>
  <c r="BJ13" i="5" s="1"/>
  <c r="S14" i="16"/>
  <c r="BE13" i="5" s="1"/>
  <c r="R14" i="16"/>
  <c r="BA13" i="5" s="1"/>
  <c r="Q14" i="16"/>
  <c r="AW13" i="5" s="1"/>
  <c r="P14" i="16"/>
  <c r="AS13" i="5" s="1"/>
  <c r="AO13" i="5"/>
  <c r="AP13" i="5" s="1"/>
  <c r="AK13" i="5"/>
  <c r="AL13" i="5" s="1"/>
  <c r="G14" i="16"/>
  <c r="F14" i="16"/>
  <c r="DE13" i="16"/>
  <c r="DD13" i="16"/>
  <c r="DC13" i="16"/>
  <c r="DB13" i="16"/>
  <c r="DA13" i="16"/>
  <c r="CZ13" i="16"/>
  <c r="CW13" i="16"/>
  <c r="CV13" i="16"/>
  <c r="CU13" i="16"/>
  <c r="CT13" i="16"/>
  <c r="CS13" i="16"/>
  <c r="CR13" i="16"/>
  <c r="CQ13" i="16"/>
  <c r="CP13" i="16"/>
  <c r="CO13" i="16"/>
  <c r="CN13" i="16"/>
  <c r="CM13" i="16"/>
  <c r="CL13" i="16"/>
  <c r="CJ13" i="16"/>
  <c r="CG13" i="16"/>
  <c r="LA12" i="5" s="1"/>
  <c r="CF13" i="16"/>
  <c r="KW12" i="5" s="1"/>
  <c r="CE13" i="16"/>
  <c r="KS12" i="5" s="1"/>
  <c r="CD13" i="16"/>
  <c r="KO12" i="5" s="1"/>
  <c r="CC13" i="16"/>
  <c r="KK12" i="5" s="1"/>
  <c r="CB13" i="16"/>
  <c r="KG12" i="5" s="1"/>
  <c r="CA13" i="16"/>
  <c r="KC12" i="5" s="1"/>
  <c r="KD12" i="5" s="1"/>
  <c r="BZ13" i="16"/>
  <c r="JY12" i="5" s="1"/>
  <c r="JZ12" i="5" s="1"/>
  <c r="BY13" i="16"/>
  <c r="JU12" i="5" s="1"/>
  <c r="JV12" i="5" s="1"/>
  <c r="BX13" i="16"/>
  <c r="JQ12" i="5" s="1"/>
  <c r="JR12" i="5" s="1"/>
  <c r="BW13" i="16"/>
  <c r="BV13" i="16"/>
  <c r="JI12" i="5" s="1"/>
  <c r="JJ12" i="5" s="1"/>
  <c r="BU13" i="16"/>
  <c r="JE12" i="5" s="1"/>
  <c r="BT13" i="16"/>
  <c r="JA12" i="5" s="1"/>
  <c r="BS13" i="16"/>
  <c r="IW12" i="5" s="1"/>
  <c r="IX12" i="5" s="1"/>
  <c r="BR13" i="16"/>
  <c r="IS12" i="5" s="1"/>
  <c r="IT12" i="5" s="1"/>
  <c r="BO13" i="16"/>
  <c r="BN13" i="16"/>
  <c r="IK12" i="5" s="1"/>
  <c r="BM13" i="16"/>
  <c r="IG12" i="5" s="1"/>
  <c r="BL13" i="16"/>
  <c r="IC12" i="5" s="1"/>
  <c r="BK13" i="16"/>
  <c r="HY12" i="5" s="1"/>
  <c r="HZ12" i="5" s="1"/>
  <c r="BJ13" i="16"/>
  <c r="HU12" i="5" s="1"/>
  <c r="HV12" i="5" s="1"/>
  <c r="BI13" i="16"/>
  <c r="HQ12" i="5" s="1"/>
  <c r="BH13" i="16"/>
  <c r="HM12" i="5" s="1"/>
  <c r="BG13" i="16"/>
  <c r="HI12" i="5" s="1"/>
  <c r="HJ12" i="5" s="1"/>
  <c r="BF13" i="16"/>
  <c r="HE12" i="5" s="1"/>
  <c r="HF12" i="5" s="1"/>
  <c r="BE13" i="16"/>
  <c r="HA12" i="5" s="1"/>
  <c r="BD13" i="16"/>
  <c r="GW12" i="5" s="1"/>
  <c r="GX12" i="5" s="1"/>
  <c r="BC13" i="16"/>
  <c r="GS12" i="5" s="1"/>
  <c r="BB13" i="16"/>
  <c r="GO12" i="5" s="1"/>
  <c r="BA13" i="16"/>
  <c r="GK12" i="5" s="1"/>
  <c r="GL12" i="5" s="1"/>
  <c r="AZ13" i="16"/>
  <c r="GG12" i="5" s="1"/>
  <c r="GH12" i="5" s="1"/>
  <c r="AY13" i="16"/>
  <c r="GC12" i="5" s="1"/>
  <c r="GE12" i="5" s="1"/>
  <c r="AX13" i="16"/>
  <c r="FY12" i="5" s="1"/>
  <c r="GA12" i="5" s="1"/>
  <c r="AW13" i="16"/>
  <c r="FU12" i="5" s="1"/>
  <c r="AV13" i="16"/>
  <c r="FQ12" i="5" s="1"/>
  <c r="AU13" i="16"/>
  <c r="FM12" i="5" s="1"/>
  <c r="AT13" i="16"/>
  <c r="FI12" i="5" s="1"/>
  <c r="AS13" i="16"/>
  <c r="FE12" i="5" s="1"/>
  <c r="AR13" i="16"/>
  <c r="FA12" i="5" s="1"/>
  <c r="AO13" i="16"/>
  <c r="AN13" i="16"/>
  <c r="EK12" i="5" s="1"/>
  <c r="EN12" i="5" s="1"/>
  <c r="AM13" i="16"/>
  <c r="EG12" i="5" s="1"/>
  <c r="EH12" i="5" s="1"/>
  <c r="AL13" i="16"/>
  <c r="EC12" i="5" s="1"/>
  <c r="ED12" i="5" s="1"/>
  <c r="AK13" i="16"/>
  <c r="AJ13" i="16"/>
  <c r="DU12" i="5" s="1"/>
  <c r="DV12" i="5" s="1"/>
  <c r="DQ12" i="5"/>
  <c r="DR12" i="5" s="1"/>
  <c r="DM12" i="5"/>
  <c r="DN12" i="5" s="1"/>
  <c r="AG13" i="16"/>
  <c r="DI12" i="5" s="1"/>
  <c r="DJ12" i="5" s="1"/>
  <c r="AF13" i="16"/>
  <c r="DE12" i="5" s="1"/>
  <c r="DF12" i="5" s="1"/>
  <c r="AE13" i="16"/>
  <c r="DA12" i="5" s="1"/>
  <c r="AD13" i="16"/>
  <c r="CW12" i="5" s="1"/>
  <c r="AC13" i="16"/>
  <c r="CS12" i="5" s="1"/>
  <c r="CT12" i="5" s="1"/>
  <c r="AB13" i="16"/>
  <c r="CO12" i="5" s="1"/>
  <c r="CP12" i="5" s="1"/>
  <c r="AA13" i="16"/>
  <c r="CK12" i="5" s="1"/>
  <c r="CL12" i="5" s="1"/>
  <c r="Z13" i="16"/>
  <c r="CG12" i="5" s="1"/>
  <c r="CH12" i="5" s="1"/>
  <c r="Y13" i="16"/>
  <c r="X13" i="16"/>
  <c r="BY12" i="5" s="1"/>
  <c r="BZ12" i="5" s="1"/>
  <c r="W13" i="16"/>
  <c r="BU12" i="5" s="1"/>
  <c r="BV12" i="5" s="1"/>
  <c r="V13" i="16"/>
  <c r="U13" i="16"/>
  <c r="T13" i="16"/>
  <c r="BI12" i="5" s="1"/>
  <c r="BJ12" i="5" s="1"/>
  <c r="S13" i="16"/>
  <c r="BE12" i="5" s="1"/>
  <c r="R13" i="16"/>
  <c r="BA12" i="5" s="1"/>
  <c r="Q13" i="16"/>
  <c r="AW12" i="5" s="1"/>
  <c r="P13" i="16"/>
  <c r="AS12" i="5" s="1"/>
  <c r="AO12" i="5"/>
  <c r="AP12" i="5" s="1"/>
  <c r="AK12" i="5"/>
  <c r="AL12" i="5" s="1"/>
  <c r="G13" i="16"/>
  <c r="F13" i="16"/>
  <c r="DE12" i="16"/>
  <c r="DD12" i="16"/>
  <c r="DC12" i="16"/>
  <c r="DB12" i="16"/>
  <c r="DA12" i="16"/>
  <c r="CZ12" i="16"/>
  <c r="CW12" i="16"/>
  <c r="CV12" i="16"/>
  <c r="CU12" i="16"/>
  <c r="CT12" i="16"/>
  <c r="CS12" i="16"/>
  <c r="CR12" i="16"/>
  <c r="CQ12" i="16"/>
  <c r="CP12" i="16"/>
  <c r="CO12" i="16"/>
  <c r="CN12" i="16"/>
  <c r="CM12" i="16"/>
  <c r="CL12" i="16"/>
  <c r="CJ12" i="16"/>
  <c r="CG12" i="16"/>
  <c r="CF12" i="16"/>
  <c r="KW11" i="5" s="1"/>
  <c r="CE12" i="16"/>
  <c r="KS11" i="5" s="1"/>
  <c r="CD12" i="16"/>
  <c r="KO11" i="5" s="1"/>
  <c r="CC12" i="16"/>
  <c r="KK11" i="5" s="1"/>
  <c r="CB12" i="16"/>
  <c r="KG11" i="5" s="1"/>
  <c r="CA12" i="16"/>
  <c r="KC11" i="5" s="1"/>
  <c r="KD11" i="5" s="1"/>
  <c r="BZ12" i="16"/>
  <c r="JY11" i="5" s="1"/>
  <c r="JZ11" i="5" s="1"/>
  <c r="BY12" i="16"/>
  <c r="JU11" i="5" s="1"/>
  <c r="JV11" i="5" s="1"/>
  <c r="BX12" i="16"/>
  <c r="JQ11" i="5" s="1"/>
  <c r="JR11" i="5" s="1"/>
  <c r="BW12" i="16"/>
  <c r="JM11" i="5" s="1"/>
  <c r="JN11" i="5" s="1"/>
  <c r="BV12" i="16"/>
  <c r="JI11" i="5" s="1"/>
  <c r="JJ11" i="5" s="1"/>
  <c r="BU12" i="16"/>
  <c r="JE11" i="5" s="1"/>
  <c r="BT12" i="16"/>
  <c r="JA11" i="5" s="1"/>
  <c r="BS12" i="16"/>
  <c r="BR12" i="16"/>
  <c r="IS11" i="5" s="1"/>
  <c r="IT11" i="5" s="1"/>
  <c r="BO12" i="16"/>
  <c r="IO11" i="5" s="1"/>
  <c r="BN12" i="16"/>
  <c r="IK11" i="5" s="1"/>
  <c r="BM12" i="16"/>
  <c r="IG11" i="5" s="1"/>
  <c r="BL12" i="16"/>
  <c r="IC11" i="5" s="1"/>
  <c r="BK12" i="16"/>
  <c r="HY11" i="5" s="1"/>
  <c r="HZ11" i="5" s="1"/>
  <c r="BJ12" i="16"/>
  <c r="HU11" i="5" s="1"/>
  <c r="HV11" i="5" s="1"/>
  <c r="BI12" i="16"/>
  <c r="HQ11" i="5" s="1"/>
  <c r="BH12" i="16"/>
  <c r="HM11" i="5" s="1"/>
  <c r="BG12" i="16"/>
  <c r="HI11" i="5" s="1"/>
  <c r="HJ11" i="5" s="1"/>
  <c r="BF12" i="16"/>
  <c r="HE11" i="5" s="1"/>
  <c r="HF11" i="5" s="1"/>
  <c r="BE12" i="16"/>
  <c r="HA11" i="5" s="1"/>
  <c r="BD12" i="16"/>
  <c r="GW11" i="5" s="1"/>
  <c r="GX11" i="5" s="1"/>
  <c r="BC12" i="16"/>
  <c r="GS11" i="5" s="1"/>
  <c r="BB12" i="16"/>
  <c r="GO11" i="5" s="1"/>
  <c r="BA12" i="16"/>
  <c r="GK11" i="5" s="1"/>
  <c r="GL11" i="5" s="1"/>
  <c r="AZ12" i="16"/>
  <c r="GG11" i="5" s="1"/>
  <c r="GH11" i="5" s="1"/>
  <c r="AY12" i="16"/>
  <c r="AX12" i="16"/>
  <c r="FY11" i="5" s="1"/>
  <c r="GA11" i="5" s="1"/>
  <c r="AW12" i="16"/>
  <c r="FU11" i="5" s="1"/>
  <c r="AV12" i="16"/>
  <c r="FQ11" i="5" s="1"/>
  <c r="AU12" i="16"/>
  <c r="FM11" i="5" s="1"/>
  <c r="AT12" i="16"/>
  <c r="FI11" i="5" s="1"/>
  <c r="AS12" i="16"/>
  <c r="FE11" i="5" s="1"/>
  <c r="AR12" i="16"/>
  <c r="FA11" i="5" s="1"/>
  <c r="AO12" i="16"/>
  <c r="O12" i="16" s="1"/>
  <c r="AN12" i="16"/>
  <c r="EK11" i="5" s="1"/>
  <c r="EN11" i="5" s="1"/>
  <c r="AM12" i="16"/>
  <c r="EG11" i="5" s="1"/>
  <c r="EH11" i="5" s="1"/>
  <c r="AL12" i="16"/>
  <c r="EC11" i="5" s="1"/>
  <c r="ED11" i="5" s="1"/>
  <c r="AK12" i="16"/>
  <c r="DY11" i="5" s="1"/>
  <c r="DZ11" i="5" s="1"/>
  <c r="AJ12" i="16"/>
  <c r="DU11" i="5" s="1"/>
  <c r="DV11" i="5" s="1"/>
  <c r="DM11" i="5"/>
  <c r="DN11" i="5" s="1"/>
  <c r="AG12" i="16"/>
  <c r="DI11" i="5" s="1"/>
  <c r="DJ11" i="5" s="1"/>
  <c r="AF12" i="16"/>
  <c r="DE11" i="5" s="1"/>
  <c r="DF11" i="5" s="1"/>
  <c r="AE12" i="16"/>
  <c r="DA11" i="5" s="1"/>
  <c r="AD12" i="16"/>
  <c r="CW11" i="5" s="1"/>
  <c r="AC12" i="16"/>
  <c r="CS11" i="5" s="1"/>
  <c r="CT11" i="5" s="1"/>
  <c r="AB12" i="16"/>
  <c r="CO11" i="5" s="1"/>
  <c r="CP11" i="5" s="1"/>
  <c r="AA12" i="16"/>
  <c r="Z12" i="16"/>
  <c r="CG11" i="5" s="1"/>
  <c r="CH11" i="5" s="1"/>
  <c r="Y12" i="16"/>
  <c r="CC11" i="5" s="1"/>
  <c r="CD11" i="5" s="1"/>
  <c r="X12" i="16"/>
  <c r="BY11" i="5" s="1"/>
  <c r="BZ11" i="5" s="1"/>
  <c r="W12" i="16"/>
  <c r="BU11" i="5" s="1"/>
  <c r="BV11" i="5" s="1"/>
  <c r="V12" i="16"/>
  <c r="U12" i="16"/>
  <c r="T12" i="16"/>
  <c r="BI11" i="5" s="1"/>
  <c r="BJ11" i="5" s="1"/>
  <c r="S12" i="16"/>
  <c r="R12" i="16"/>
  <c r="BA11" i="5" s="1"/>
  <c r="Q12" i="16"/>
  <c r="AW11" i="5" s="1"/>
  <c r="P12" i="16"/>
  <c r="AS11" i="5" s="1"/>
  <c r="AO11" i="5"/>
  <c r="AP11" i="5" s="1"/>
  <c r="AK11" i="5"/>
  <c r="AL11" i="5" s="1"/>
  <c r="G12" i="16"/>
  <c r="E12" i="16" s="1"/>
  <c r="F12" i="16"/>
  <c r="DE11" i="16"/>
  <c r="DD11" i="16"/>
  <c r="DC11" i="16"/>
  <c r="DB11" i="16"/>
  <c r="DA11" i="16"/>
  <c r="CZ11" i="16"/>
  <c r="CW11" i="16"/>
  <c r="CV11" i="16"/>
  <c r="CU11" i="16"/>
  <c r="CT11" i="16"/>
  <c r="CS11" i="16"/>
  <c r="CR11" i="16"/>
  <c r="CQ11" i="16"/>
  <c r="CP11" i="16"/>
  <c r="CO11" i="16"/>
  <c r="CN11" i="16"/>
  <c r="CM11" i="16"/>
  <c r="CL11" i="16"/>
  <c r="CJ11" i="16"/>
  <c r="CG11" i="16"/>
  <c r="LA10" i="5" s="1"/>
  <c r="CF11" i="16"/>
  <c r="KW10" i="5" s="1"/>
  <c r="CE11" i="16"/>
  <c r="KS10" i="5" s="1"/>
  <c r="CD11" i="16"/>
  <c r="KO10" i="5" s="1"/>
  <c r="CC11" i="16"/>
  <c r="KK10" i="5" s="1"/>
  <c r="CB11" i="16"/>
  <c r="KG10" i="5" s="1"/>
  <c r="CA11" i="16"/>
  <c r="KC10" i="5" s="1"/>
  <c r="BZ11" i="16"/>
  <c r="JY10" i="5" s="1"/>
  <c r="BY11" i="16"/>
  <c r="JU10" i="5" s="1"/>
  <c r="BX11" i="16"/>
  <c r="JQ10" i="5" s="1"/>
  <c r="BW11" i="16"/>
  <c r="JM10" i="5" s="1"/>
  <c r="BV11" i="16"/>
  <c r="JI10" i="5" s="1"/>
  <c r="BU11" i="16"/>
  <c r="JE10" i="5" s="1"/>
  <c r="BT11" i="16"/>
  <c r="JA10" i="5" s="1"/>
  <c r="BS11" i="16"/>
  <c r="IW10" i="5" s="1"/>
  <c r="BR11" i="16"/>
  <c r="IS10" i="5" s="1"/>
  <c r="BO11" i="16"/>
  <c r="IO10" i="5" s="1"/>
  <c r="BN11" i="16"/>
  <c r="IK10" i="5" s="1"/>
  <c r="BM11" i="16"/>
  <c r="IG10" i="5" s="1"/>
  <c r="BL11" i="16"/>
  <c r="IC10" i="5" s="1"/>
  <c r="BK11" i="16"/>
  <c r="HY10" i="5" s="1"/>
  <c r="BJ11" i="16"/>
  <c r="HU10" i="5" s="1"/>
  <c r="BI11" i="16"/>
  <c r="HQ10" i="5" s="1"/>
  <c r="BH11" i="16"/>
  <c r="HM10" i="5" s="1"/>
  <c r="BG11" i="16"/>
  <c r="HI10" i="5" s="1"/>
  <c r="BF11" i="16"/>
  <c r="HE10" i="5" s="1"/>
  <c r="BE11" i="16"/>
  <c r="HA10" i="5" s="1"/>
  <c r="BD11" i="16"/>
  <c r="GW10" i="5" s="1"/>
  <c r="BC11" i="16"/>
  <c r="GS10" i="5" s="1"/>
  <c r="GT10" i="5" s="1"/>
  <c r="GT28" i="5" s="1"/>
  <c r="BB11" i="16"/>
  <c r="GO10" i="5" s="1"/>
  <c r="GP10" i="5" s="1"/>
  <c r="GP28" i="5" s="1"/>
  <c r="BA11" i="16"/>
  <c r="GK10" i="5" s="1"/>
  <c r="AZ11" i="16"/>
  <c r="GG10" i="5" s="1"/>
  <c r="AY11" i="16"/>
  <c r="GC10" i="5" s="1"/>
  <c r="AX11" i="16"/>
  <c r="FY10" i="5" s="1"/>
  <c r="GA10" i="5" s="1"/>
  <c r="AW11" i="16"/>
  <c r="FU10" i="5" s="1"/>
  <c r="AV11" i="16"/>
  <c r="FQ10" i="5" s="1"/>
  <c r="AU11" i="16"/>
  <c r="FM10" i="5" s="1"/>
  <c r="AT11" i="16"/>
  <c r="FI10" i="5" s="1"/>
  <c r="AS11" i="16"/>
  <c r="FE10" i="5" s="1"/>
  <c r="AR11" i="16"/>
  <c r="FA10" i="5" s="1"/>
  <c r="EW10" i="5"/>
  <c r="ES10" i="5"/>
  <c r="AO11" i="16"/>
  <c r="EO10" i="5" s="1"/>
  <c r="ER10" i="5" s="1"/>
  <c r="AN11" i="16"/>
  <c r="EK10" i="5" s="1"/>
  <c r="AM11" i="16"/>
  <c r="EG10" i="5" s="1"/>
  <c r="AL11" i="16"/>
  <c r="AK11" i="16"/>
  <c r="DY10" i="5" s="1"/>
  <c r="DZ10" i="5" s="1"/>
  <c r="AJ11" i="16"/>
  <c r="DU10" i="5" s="1"/>
  <c r="DQ10" i="5"/>
  <c r="DM10" i="5"/>
  <c r="AG11" i="16"/>
  <c r="DI10" i="5" s="1"/>
  <c r="DJ10" i="5" s="1"/>
  <c r="AF11" i="16"/>
  <c r="DE10" i="5" s="1"/>
  <c r="AE11" i="16"/>
  <c r="DA10" i="5" s="1"/>
  <c r="AD11" i="16"/>
  <c r="AC11" i="16"/>
  <c r="CS10" i="5" s="1"/>
  <c r="AB11" i="16"/>
  <c r="CO10" i="5" s="1"/>
  <c r="AA11" i="16"/>
  <c r="CK10" i="5" s="1"/>
  <c r="Z11" i="16"/>
  <c r="CG10" i="5" s="1"/>
  <c r="CH10" i="5" s="1"/>
  <c r="Y11" i="16"/>
  <c r="CC10" i="5" s="1"/>
  <c r="X11" i="16"/>
  <c r="BY10" i="5" s="1"/>
  <c r="W11" i="16"/>
  <c r="BU10" i="5" s="1"/>
  <c r="V11" i="16"/>
  <c r="U11" i="16"/>
  <c r="BM10" i="5" s="1"/>
  <c r="T11" i="16"/>
  <c r="BI10" i="5" s="1"/>
  <c r="BJ10" i="5" s="1"/>
  <c r="S11" i="16"/>
  <c r="BE10" i="5" s="1"/>
  <c r="R11" i="16"/>
  <c r="BA10" i="5" s="1"/>
  <c r="Q11" i="16"/>
  <c r="AW10" i="5" s="1"/>
  <c r="P11" i="16"/>
  <c r="AS10" i="5" s="1"/>
  <c r="G11" i="16"/>
  <c r="F11" i="16"/>
  <c r="C68" i="15"/>
  <c r="B68" i="15"/>
  <c r="C59" i="15"/>
  <c r="B59" i="15"/>
  <c r="C58" i="15"/>
  <c r="B58" i="15"/>
  <c r="C57" i="15"/>
  <c r="B57" i="15"/>
  <c r="C52" i="15"/>
  <c r="B52" i="15"/>
  <c r="B51" i="15"/>
  <c r="C50" i="15"/>
  <c r="B50" i="15"/>
  <c r="C49" i="15"/>
  <c r="B49" i="15"/>
  <c r="C48" i="15"/>
  <c r="B48" i="15"/>
  <c r="C47" i="15"/>
  <c r="B47" i="15"/>
  <c r="C46" i="15"/>
  <c r="B46" i="15"/>
  <c r="C41" i="15"/>
  <c r="B41" i="15"/>
  <c r="C40" i="15"/>
  <c r="B40" i="15"/>
  <c r="C39" i="15"/>
  <c r="B39" i="15"/>
  <c r="C38" i="15"/>
  <c r="B38" i="15"/>
  <c r="C37" i="15"/>
  <c r="B37" i="15"/>
  <c r="C36" i="15"/>
  <c r="B36" i="15"/>
  <c r="C35" i="15"/>
  <c r="B35" i="15"/>
  <c r="C34" i="15"/>
  <c r="B34" i="15"/>
  <c r="C33" i="15"/>
  <c r="B33" i="15"/>
  <c r="C31" i="15"/>
  <c r="B31" i="15"/>
  <c r="C30" i="15"/>
  <c r="B30" i="15"/>
  <c r="C29" i="15"/>
  <c r="B29" i="15"/>
  <c r="C28" i="15"/>
  <c r="B28" i="15"/>
  <c r="C27" i="15"/>
  <c r="B27" i="15"/>
  <c r="C26" i="15"/>
  <c r="B26" i="15"/>
  <c r="C25" i="15"/>
  <c r="B25" i="15"/>
  <c r="C24" i="15"/>
  <c r="B24" i="15"/>
  <c r="C23" i="15"/>
  <c r="B23" i="15"/>
  <c r="C22" i="15"/>
  <c r="B22"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I13" i="14"/>
  <c r="E13" i="14"/>
  <c r="D10" i="13"/>
  <c r="C10" i="13"/>
  <c r="B10" i="13" s="1"/>
  <c r="E10" i="13" s="1"/>
  <c r="E20" i="12"/>
  <c r="C15" i="12"/>
  <c r="E13" i="12"/>
  <c r="D13" i="12" s="1"/>
  <c r="E12" i="12"/>
  <c r="D12" i="12" s="1"/>
  <c r="E11" i="12"/>
  <c r="D11" i="12" s="1"/>
  <c r="E10" i="12"/>
  <c r="D10" i="12" s="1"/>
  <c r="E9" i="12"/>
  <c r="D9" i="12" s="1"/>
  <c r="E8" i="12"/>
  <c r="D8" i="12" s="1"/>
  <c r="A3" i="12"/>
  <c r="F551" i="11"/>
  <c r="D551" i="11"/>
  <c r="D546" i="11"/>
  <c r="I516" i="11"/>
  <c r="H516" i="11"/>
  <c r="H513" i="11"/>
  <c r="G513" i="11"/>
  <c r="I513" i="11" s="1"/>
  <c r="D512" i="11"/>
  <c r="D514" i="11" s="1"/>
  <c r="H511" i="11"/>
  <c r="G511" i="11"/>
  <c r="I511" i="11" s="1"/>
  <c r="F510" i="11"/>
  <c r="E510" i="11"/>
  <c r="D510" i="11"/>
  <c r="H509" i="11"/>
  <c r="G509" i="11"/>
  <c r="I509" i="11" s="1"/>
  <c r="H508" i="11"/>
  <c r="D507" i="11"/>
  <c r="F506" i="11"/>
  <c r="F507" i="11" s="1"/>
  <c r="E506" i="11"/>
  <c r="E507" i="11" s="1"/>
  <c r="H505" i="11"/>
  <c r="G505" i="11"/>
  <c r="I505" i="11" s="1"/>
  <c r="D504" i="11"/>
  <c r="J503" i="11"/>
  <c r="F503" i="11"/>
  <c r="E503" i="11"/>
  <c r="E504" i="11" s="1"/>
  <c r="I502" i="11"/>
  <c r="H502" i="11"/>
  <c r="D500" i="11"/>
  <c r="I496" i="11"/>
  <c r="H496" i="11"/>
  <c r="D495" i="11"/>
  <c r="D491" i="11" s="1"/>
  <c r="I493" i="11"/>
  <c r="H493" i="11"/>
  <c r="G492" i="11"/>
  <c r="I492" i="11" s="1"/>
  <c r="F492" i="11"/>
  <c r="E492" i="11"/>
  <c r="D492" i="11"/>
  <c r="D490" i="11"/>
  <c r="E488" i="11"/>
  <c r="H488" i="11" s="1"/>
  <c r="F487" i="11"/>
  <c r="D487" i="11"/>
  <c r="E486" i="11"/>
  <c r="H485" i="11"/>
  <c r="G485" i="11"/>
  <c r="I485" i="11" s="1"/>
  <c r="D484" i="11"/>
  <c r="H482" i="11"/>
  <c r="G482" i="11"/>
  <c r="I482" i="11" s="1"/>
  <c r="D481" i="11"/>
  <c r="F480" i="11"/>
  <c r="F481" i="11" s="1"/>
  <c r="E480" i="11"/>
  <c r="E481" i="11" s="1"/>
  <c r="H479" i="11"/>
  <c r="G479" i="11"/>
  <c r="I479" i="11" s="1"/>
  <c r="D478" i="11"/>
  <c r="J477" i="11"/>
  <c r="F477" i="11"/>
  <c r="F478" i="11" s="1"/>
  <c r="E477" i="11"/>
  <c r="E478" i="11" s="1"/>
  <c r="G478" i="11" s="1"/>
  <c r="I478" i="11" s="1"/>
  <c r="I476" i="11"/>
  <c r="H476" i="11"/>
  <c r="D475" i="11"/>
  <c r="F474" i="11"/>
  <c r="E474" i="11"/>
  <c r="I473" i="11"/>
  <c r="H473" i="11"/>
  <c r="D472" i="11"/>
  <c r="J471" i="11"/>
  <c r="F471" i="11"/>
  <c r="F472" i="11" s="1"/>
  <c r="E471" i="11"/>
  <c r="G471" i="11" s="1"/>
  <c r="I470" i="11"/>
  <c r="H470" i="11"/>
  <c r="F469" i="11"/>
  <c r="E469" i="11"/>
  <c r="D469" i="11"/>
  <c r="D467" i="11"/>
  <c r="I466" i="11"/>
  <c r="I465" i="11"/>
  <c r="H465" i="11"/>
  <c r="F464" i="11"/>
  <c r="F460" i="11" s="1"/>
  <c r="D464" i="11"/>
  <c r="D460" i="11" s="1"/>
  <c r="G463" i="11"/>
  <c r="I463" i="11" s="1"/>
  <c r="E463" i="11"/>
  <c r="E464" i="11" s="1"/>
  <c r="E460" i="11" s="1"/>
  <c r="I462" i="11"/>
  <c r="H462" i="11"/>
  <c r="G461" i="11"/>
  <c r="I461" i="11" s="1"/>
  <c r="F461" i="11"/>
  <c r="H461" i="11" s="1"/>
  <c r="E461" i="11"/>
  <c r="D461" i="11"/>
  <c r="F459" i="11"/>
  <c r="H459" i="11" s="1"/>
  <c r="E459" i="11"/>
  <c r="D459" i="11"/>
  <c r="E457" i="11"/>
  <c r="G457" i="11" s="1"/>
  <c r="F456" i="11"/>
  <c r="D456" i="11"/>
  <c r="E455" i="11"/>
  <c r="G455" i="11" s="1"/>
  <c r="D454" i="11"/>
  <c r="H453" i="11"/>
  <c r="G453" i="11"/>
  <c r="I453" i="11" s="1"/>
  <c r="H452" i="11"/>
  <c r="F451" i="11"/>
  <c r="F454" i="11" s="1"/>
  <c r="E451" i="11"/>
  <c r="D450" i="11"/>
  <c r="H449" i="11"/>
  <c r="G449" i="11"/>
  <c r="I449" i="11" s="1"/>
  <c r="H448" i="11"/>
  <c r="J447" i="11"/>
  <c r="F447" i="11"/>
  <c r="F450" i="11" s="1"/>
  <c r="E447" i="11"/>
  <c r="E450" i="11" s="1"/>
  <c r="H446" i="11"/>
  <c r="G446" i="11"/>
  <c r="I446" i="11" s="1"/>
  <c r="D445" i="11"/>
  <c r="F444" i="11"/>
  <c r="F445" i="11" s="1"/>
  <c r="E444" i="11"/>
  <c r="E445" i="11" s="1"/>
  <c r="H443" i="11"/>
  <c r="G443" i="11"/>
  <c r="I443" i="11" s="1"/>
  <c r="D442" i="11"/>
  <c r="J441" i="11"/>
  <c r="F441" i="11"/>
  <c r="E441" i="11"/>
  <c r="E442" i="11" s="1"/>
  <c r="H440" i="11"/>
  <c r="G440" i="11"/>
  <c r="I440" i="11" s="1"/>
  <c r="D439" i="11"/>
  <c r="F438" i="11"/>
  <c r="I15" i="8" s="1"/>
  <c r="G15" i="8" s="1"/>
  <c r="E438" i="11"/>
  <c r="E439" i="11" s="1"/>
  <c r="H437" i="11"/>
  <c r="G437" i="11"/>
  <c r="I437" i="11" s="1"/>
  <c r="D436" i="11"/>
  <c r="J435" i="11"/>
  <c r="F435" i="11"/>
  <c r="E435" i="11"/>
  <c r="G435" i="11" s="1"/>
  <c r="H434" i="11"/>
  <c r="G434" i="11"/>
  <c r="I434" i="11" s="1"/>
  <c r="D433" i="11"/>
  <c r="F433" i="11"/>
  <c r="G432" i="11"/>
  <c r="G433" i="11" s="1"/>
  <c r="I433" i="11" s="1"/>
  <c r="H431" i="11"/>
  <c r="G431" i="11"/>
  <c r="I431" i="11" s="1"/>
  <c r="D430" i="11"/>
  <c r="J429" i="11"/>
  <c r="F430" i="11"/>
  <c r="E430" i="11"/>
  <c r="H428" i="11"/>
  <c r="G428" i="11"/>
  <c r="I428" i="11" s="1"/>
  <c r="D427" i="11"/>
  <c r="H425" i="11"/>
  <c r="G425" i="11"/>
  <c r="I425" i="11" s="1"/>
  <c r="D424" i="11"/>
  <c r="F423" i="11"/>
  <c r="E423" i="11"/>
  <c r="G423" i="11" s="1"/>
  <c r="I423" i="11" s="1"/>
  <c r="H422" i="11"/>
  <c r="G422" i="11"/>
  <c r="I422" i="11" s="1"/>
  <c r="D421" i="11"/>
  <c r="J420" i="11"/>
  <c r="F420" i="11"/>
  <c r="F421" i="11" s="1"/>
  <c r="E420" i="11"/>
  <c r="H419" i="11"/>
  <c r="G419" i="11"/>
  <c r="I419" i="11" s="1"/>
  <c r="D418" i="11"/>
  <c r="F417" i="11"/>
  <c r="F418" i="11" s="1"/>
  <c r="E417" i="11"/>
  <c r="G417" i="11" s="1"/>
  <c r="I417" i="11" s="1"/>
  <c r="H416" i="11"/>
  <c r="G416" i="11"/>
  <c r="I416" i="11" s="1"/>
  <c r="D415" i="11"/>
  <c r="J414" i="11"/>
  <c r="F414" i="11"/>
  <c r="F415" i="11" s="1"/>
  <c r="E414" i="11"/>
  <c r="E415" i="11" s="1"/>
  <c r="H413" i="11"/>
  <c r="G413" i="11"/>
  <c r="I413" i="11" s="1"/>
  <c r="D412" i="11"/>
  <c r="F411" i="11"/>
  <c r="I13" i="8" s="1"/>
  <c r="G13" i="8" s="1"/>
  <c r="E411" i="11"/>
  <c r="E412" i="11" s="1"/>
  <c r="H410" i="11"/>
  <c r="G410" i="11"/>
  <c r="I410" i="11" s="1"/>
  <c r="D409" i="11"/>
  <c r="J408" i="11"/>
  <c r="F408" i="11"/>
  <c r="E408" i="11"/>
  <c r="H406" i="11"/>
  <c r="G406" i="11"/>
  <c r="I406" i="11" s="1"/>
  <c r="H405" i="11"/>
  <c r="G405" i="11"/>
  <c r="I405" i="11" s="1"/>
  <c r="F404" i="11"/>
  <c r="I11" i="8" s="1"/>
  <c r="G11" i="8" s="1"/>
  <c r="E404" i="11"/>
  <c r="E407" i="11" s="1"/>
  <c r="D404" i="11"/>
  <c r="D407" i="11" s="1"/>
  <c r="H402" i="11"/>
  <c r="G402" i="11"/>
  <c r="I402" i="11" s="1"/>
  <c r="H401" i="11"/>
  <c r="G401" i="11"/>
  <c r="I401" i="11" s="1"/>
  <c r="F400" i="11"/>
  <c r="E400" i="11"/>
  <c r="G400" i="11" s="1"/>
  <c r="I400" i="11" s="1"/>
  <c r="D400" i="11"/>
  <c r="J400" i="11" s="1"/>
  <c r="H399" i="11"/>
  <c r="G399" i="11"/>
  <c r="D398" i="11"/>
  <c r="F397" i="11"/>
  <c r="F398" i="11" s="1"/>
  <c r="E397" i="11"/>
  <c r="G397" i="11" s="1"/>
  <c r="I397" i="11" s="1"/>
  <c r="H396" i="11"/>
  <c r="G396" i="11"/>
  <c r="I396" i="11" s="1"/>
  <c r="D395" i="11"/>
  <c r="F394" i="11"/>
  <c r="I10" i="8" s="1"/>
  <c r="G10" i="8" s="1"/>
  <c r="E394" i="11"/>
  <c r="G394" i="11" s="1"/>
  <c r="H393" i="11"/>
  <c r="G393" i="11"/>
  <c r="I393" i="11" s="1"/>
  <c r="D392" i="11"/>
  <c r="J391" i="11"/>
  <c r="F391" i="11"/>
  <c r="F392" i="11" s="1"/>
  <c r="E391" i="11"/>
  <c r="I390" i="11"/>
  <c r="H390" i="11"/>
  <c r="F388" i="11"/>
  <c r="E388" i="11"/>
  <c r="D388" i="11"/>
  <c r="D386" i="11"/>
  <c r="I385" i="11"/>
  <c r="H385" i="11"/>
  <c r="H384" i="11"/>
  <c r="G384" i="11"/>
  <c r="I384" i="11" s="1"/>
  <c r="D383" i="11"/>
  <c r="D381" i="11"/>
  <c r="F380" i="11"/>
  <c r="D380" i="11"/>
  <c r="E379" i="11"/>
  <c r="G379" i="11" s="1"/>
  <c r="I379" i="11" s="1"/>
  <c r="H378" i="11"/>
  <c r="G378" i="11"/>
  <c r="I378" i="11" s="1"/>
  <c r="D377" i="11"/>
  <c r="D370" i="11" s="1"/>
  <c r="H375" i="11"/>
  <c r="G375" i="11"/>
  <c r="I375" i="11" s="1"/>
  <c r="D374" i="11"/>
  <c r="I372" i="11"/>
  <c r="H372" i="11"/>
  <c r="D369" i="11"/>
  <c r="I368" i="11"/>
  <c r="H368" i="11"/>
  <c r="E367" i="11"/>
  <c r="F366" i="11"/>
  <c r="D366" i="11"/>
  <c r="E365" i="11"/>
  <c r="G365" i="11" s="1"/>
  <c r="I365" i="11" s="1"/>
  <c r="H364" i="11"/>
  <c r="G364" i="11"/>
  <c r="I364" i="11" s="1"/>
  <c r="D363" i="11"/>
  <c r="F362" i="11"/>
  <c r="F363" i="11" s="1"/>
  <c r="E362" i="11"/>
  <c r="H361" i="11"/>
  <c r="G361" i="11"/>
  <c r="I361" i="11" s="1"/>
  <c r="D360" i="11"/>
  <c r="J359" i="11"/>
  <c r="F359" i="11"/>
  <c r="F360" i="11" s="1"/>
  <c r="E359" i="11"/>
  <c r="E360" i="11" s="1"/>
  <c r="D358" i="11"/>
  <c r="H357" i="11"/>
  <c r="G357" i="11"/>
  <c r="I357" i="11" s="1"/>
  <c r="H356" i="11"/>
  <c r="G356" i="11"/>
  <c r="I356" i="11" s="1"/>
  <c r="F355" i="11"/>
  <c r="F358" i="11" s="1"/>
  <c r="E355" i="11"/>
  <c r="H12" i="8" s="1"/>
  <c r="D354" i="11"/>
  <c r="H353" i="11"/>
  <c r="G353" i="11"/>
  <c r="I353" i="11" s="1"/>
  <c r="H352" i="11"/>
  <c r="G352" i="11"/>
  <c r="I352" i="11" s="1"/>
  <c r="J351" i="11"/>
  <c r="F351" i="11"/>
  <c r="F354" i="11" s="1"/>
  <c r="E351" i="11"/>
  <c r="E354" i="11" s="1"/>
  <c r="G354" i="11" s="1"/>
  <c r="I354" i="11" s="1"/>
  <c r="H350" i="11"/>
  <c r="G350" i="11"/>
  <c r="I350" i="11" s="1"/>
  <c r="D349" i="11"/>
  <c r="F348" i="11"/>
  <c r="F349" i="11" s="1"/>
  <c r="E348" i="11"/>
  <c r="H347" i="11"/>
  <c r="G347" i="11"/>
  <c r="I347" i="11" s="1"/>
  <c r="D346" i="11"/>
  <c r="J345" i="11"/>
  <c r="F345" i="11"/>
  <c r="E345" i="11"/>
  <c r="G345" i="11" s="1"/>
  <c r="H344" i="11"/>
  <c r="G344" i="11"/>
  <c r="I344" i="11" s="1"/>
  <c r="D343" i="11"/>
  <c r="F342" i="11"/>
  <c r="E342" i="11"/>
  <c r="E343" i="11" s="1"/>
  <c r="I341" i="11"/>
  <c r="H341" i="11"/>
  <c r="F339" i="11"/>
  <c r="D339" i="11"/>
  <c r="D337" i="11"/>
  <c r="I336" i="11"/>
  <c r="H336" i="11"/>
  <c r="H335" i="11"/>
  <c r="E335" i="11"/>
  <c r="G335" i="11" s="1"/>
  <c r="I335" i="11" s="1"/>
  <c r="F334" i="11"/>
  <c r="D334" i="11"/>
  <c r="E333" i="11"/>
  <c r="E334" i="11" s="1"/>
  <c r="D331" i="11"/>
  <c r="D328" i="11"/>
  <c r="D329" i="11" s="1"/>
  <c r="F327" i="11"/>
  <c r="E327" i="11"/>
  <c r="E328" i="11" s="1"/>
  <c r="H320" i="11"/>
  <c r="G320" i="11"/>
  <c r="I320" i="11" s="1"/>
  <c r="F318" i="11"/>
  <c r="E318" i="11"/>
  <c r="E319" i="11" s="1"/>
  <c r="C8" i="8"/>
  <c r="F8" i="8" s="1"/>
  <c r="H317" i="11"/>
  <c r="G317" i="11"/>
  <c r="I317" i="11" s="1"/>
  <c r="F315" i="11"/>
  <c r="F316" i="11" s="1"/>
  <c r="E315" i="11"/>
  <c r="E316" i="11" s="1"/>
  <c r="H314" i="11"/>
  <c r="G314" i="11"/>
  <c r="I314" i="11" s="1"/>
  <c r="D313" i="11"/>
  <c r="H311" i="11"/>
  <c r="G311" i="11"/>
  <c r="I311" i="11" s="1"/>
  <c r="D310" i="11"/>
  <c r="H308" i="11"/>
  <c r="G308" i="11"/>
  <c r="I308" i="11" s="1"/>
  <c r="F306" i="11"/>
  <c r="F307" i="11" s="1"/>
  <c r="E306" i="11"/>
  <c r="E307" i="11" s="1"/>
  <c r="D306" i="11"/>
  <c r="D307" i="11" s="1"/>
  <c r="H305" i="11"/>
  <c r="G305" i="11"/>
  <c r="I305" i="11" s="1"/>
  <c r="F303" i="11"/>
  <c r="F304" i="11" s="1"/>
  <c r="E303" i="11"/>
  <c r="E304" i="11" s="1"/>
  <c r="D303" i="11"/>
  <c r="D304" i="11" s="1"/>
  <c r="D302" i="11"/>
  <c r="H301" i="11"/>
  <c r="G301" i="11"/>
  <c r="I301" i="11" s="1"/>
  <c r="H300" i="11"/>
  <c r="G300" i="11"/>
  <c r="I300" i="11" s="1"/>
  <c r="F299" i="11"/>
  <c r="E299" i="11"/>
  <c r="G299" i="11" s="1"/>
  <c r="I299" i="11" s="1"/>
  <c r="D298" i="11"/>
  <c r="I297" i="11"/>
  <c r="H297" i="11"/>
  <c r="I296" i="11"/>
  <c r="H296" i="11"/>
  <c r="F295" i="11"/>
  <c r="F298" i="11" s="1"/>
  <c r="E295" i="11"/>
  <c r="E298" i="11" s="1"/>
  <c r="D294" i="11"/>
  <c r="H293" i="11"/>
  <c r="G293" i="11"/>
  <c r="I293" i="11" s="1"/>
  <c r="H292" i="11"/>
  <c r="G292" i="11"/>
  <c r="I292" i="11" s="1"/>
  <c r="F291" i="11"/>
  <c r="F294" i="11" s="1"/>
  <c r="E291" i="11"/>
  <c r="D290" i="11"/>
  <c r="H289" i="11"/>
  <c r="G289" i="11"/>
  <c r="I289" i="11" s="1"/>
  <c r="H288" i="11"/>
  <c r="G288" i="11"/>
  <c r="I288" i="11" s="1"/>
  <c r="J287" i="11"/>
  <c r="F287" i="11"/>
  <c r="F290" i="11" s="1"/>
  <c r="E287" i="11"/>
  <c r="D286" i="11"/>
  <c r="H285" i="11"/>
  <c r="G285" i="11"/>
  <c r="I285" i="11" s="1"/>
  <c r="H284" i="11"/>
  <c r="G284" i="11"/>
  <c r="I284" i="11" s="1"/>
  <c r="F283" i="11"/>
  <c r="F286" i="11" s="1"/>
  <c r="E283" i="11"/>
  <c r="G283" i="11" s="1"/>
  <c r="I283" i="11" s="1"/>
  <c r="D282" i="11"/>
  <c r="H281" i="11"/>
  <c r="G281" i="11"/>
  <c r="I281" i="11" s="1"/>
  <c r="H280" i="11"/>
  <c r="G280" i="11"/>
  <c r="I280" i="11" s="1"/>
  <c r="J279" i="11"/>
  <c r="F279" i="11"/>
  <c r="E279" i="11"/>
  <c r="G279" i="11" s="1"/>
  <c r="I279" i="11" s="1"/>
  <c r="H278" i="11"/>
  <c r="G278" i="11"/>
  <c r="I278" i="11" s="1"/>
  <c r="D277" i="11"/>
  <c r="F276" i="11"/>
  <c r="E276" i="11"/>
  <c r="G276" i="11" s="1"/>
  <c r="I275" i="11"/>
  <c r="H275" i="11"/>
  <c r="I270" i="11"/>
  <c r="H270" i="11"/>
  <c r="E269" i="11"/>
  <c r="H269" i="11" s="1"/>
  <c r="F268" i="11"/>
  <c r="D268" i="11"/>
  <c r="E267" i="11"/>
  <c r="H267" i="11" s="1"/>
  <c r="H266" i="11"/>
  <c r="G266" i="11"/>
  <c r="I266" i="11" s="1"/>
  <c r="D265" i="11"/>
  <c r="D260" i="11" s="1"/>
  <c r="F264" i="11"/>
  <c r="F259" i="11" s="1"/>
  <c r="E264" i="11"/>
  <c r="G264" i="11" s="1"/>
  <c r="I263" i="11"/>
  <c r="H263" i="11"/>
  <c r="F261" i="11"/>
  <c r="D261" i="11"/>
  <c r="D259" i="11"/>
  <c r="D257" i="11"/>
  <c r="I256" i="11"/>
  <c r="H256" i="11"/>
  <c r="I255" i="11"/>
  <c r="H255" i="11"/>
  <c r="I253" i="11"/>
  <c r="H253" i="11"/>
  <c r="G251" i="11"/>
  <c r="I251" i="11" s="1"/>
  <c r="F251" i="11"/>
  <c r="E251" i="11"/>
  <c r="D251" i="11"/>
  <c r="G250" i="11"/>
  <c r="I250" i="11" s="1"/>
  <c r="F250" i="11"/>
  <c r="E250" i="11"/>
  <c r="D250" i="11"/>
  <c r="D249" i="11"/>
  <c r="D247" i="11"/>
  <c r="I246" i="11"/>
  <c r="H246" i="11"/>
  <c r="F245" i="11"/>
  <c r="F247" i="11" s="1"/>
  <c r="E245" i="11"/>
  <c r="G245" i="11" s="1"/>
  <c r="D244" i="11"/>
  <c r="I243" i="11"/>
  <c r="H243" i="11"/>
  <c r="J242" i="11"/>
  <c r="F242" i="11"/>
  <c r="E242" i="11"/>
  <c r="G242" i="11" s="1"/>
  <c r="G240" i="11"/>
  <c r="I240" i="11" s="1"/>
  <c r="F240" i="11"/>
  <c r="E240" i="11"/>
  <c r="D240" i="11"/>
  <c r="D239" i="11"/>
  <c r="H237" i="11"/>
  <c r="G237" i="11"/>
  <c r="I237" i="11" s="1"/>
  <c r="D236" i="11"/>
  <c r="F235" i="11"/>
  <c r="F236" i="11" s="1"/>
  <c r="E235" i="11"/>
  <c r="H234" i="11"/>
  <c r="G234" i="11"/>
  <c r="I234" i="11" s="1"/>
  <c r="D233" i="11"/>
  <c r="J232" i="11"/>
  <c r="F232" i="11"/>
  <c r="F233" i="11" s="1"/>
  <c r="E232" i="11"/>
  <c r="H231" i="11"/>
  <c r="G231" i="11"/>
  <c r="I231" i="11" s="1"/>
  <c r="D230" i="11"/>
  <c r="I228" i="11"/>
  <c r="H228" i="11"/>
  <c r="D227" i="11"/>
  <c r="F226" i="11"/>
  <c r="F227" i="11" s="1"/>
  <c r="E226" i="11"/>
  <c r="G226" i="11" s="1"/>
  <c r="I225" i="11"/>
  <c r="H225" i="11"/>
  <c r="D224" i="11"/>
  <c r="J223" i="11"/>
  <c r="F223" i="11"/>
  <c r="E223" i="11"/>
  <c r="G223" i="11" s="1"/>
  <c r="H221" i="11"/>
  <c r="G221" i="11"/>
  <c r="I221" i="11" s="1"/>
  <c r="H220" i="11"/>
  <c r="G220" i="11"/>
  <c r="I220" i="11" s="1"/>
  <c r="F219" i="11"/>
  <c r="F222" i="11" s="1"/>
  <c r="I13" i="6" s="1"/>
  <c r="G13" i="6" s="1"/>
  <c r="E219" i="11"/>
  <c r="E222" i="11" s="1"/>
  <c r="H13" i="6" s="1"/>
  <c r="D222" i="11"/>
  <c r="D218" i="11"/>
  <c r="H217" i="11"/>
  <c r="G217" i="11"/>
  <c r="I217" i="11" s="1"/>
  <c r="H216" i="11"/>
  <c r="G216" i="11"/>
  <c r="F215" i="11"/>
  <c r="I18" i="8" s="1"/>
  <c r="G18" i="8" s="1"/>
  <c r="E215" i="11"/>
  <c r="E218" i="11" s="1"/>
  <c r="G218" i="11" s="1"/>
  <c r="I218" i="11" s="1"/>
  <c r="D214" i="11"/>
  <c r="H213" i="11"/>
  <c r="G213" i="11"/>
  <c r="I213" i="11" s="1"/>
  <c r="H212" i="11"/>
  <c r="G212" i="11"/>
  <c r="J211" i="11"/>
  <c r="F211" i="11"/>
  <c r="F214" i="11" s="1"/>
  <c r="E211" i="11"/>
  <c r="H209" i="11"/>
  <c r="G209" i="11"/>
  <c r="I209" i="11" s="1"/>
  <c r="H208" i="11"/>
  <c r="G208" i="11"/>
  <c r="I208" i="11" s="1"/>
  <c r="F207" i="11"/>
  <c r="I17" i="8" s="1"/>
  <c r="G17" i="8" s="1"/>
  <c r="E207" i="11"/>
  <c r="E210" i="11" s="1"/>
  <c r="D207" i="11"/>
  <c r="H205" i="11"/>
  <c r="G205" i="11"/>
  <c r="I205" i="11" s="1"/>
  <c r="H204" i="11"/>
  <c r="G204" i="11"/>
  <c r="I204" i="11" s="1"/>
  <c r="F203" i="11"/>
  <c r="F206" i="11" s="1"/>
  <c r="E203" i="11"/>
  <c r="E206" i="11" s="1"/>
  <c r="D203" i="11"/>
  <c r="I202" i="11"/>
  <c r="H202" i="11"/>
  <c r="F200" i="11"/>
  <c r="E200" i="11"/>
  <c r="D200" i="11"/>
  <c r="I197" i="11"/>
  <c r="D196" i="11"/>
  <c r="H195" i="11"/>
  <c r="G195" i="11"/>
  <c r="I195" i="11" s="1"/>
  <c r="H194" i="11"/>
  <c r="G194" i="11"/>
  <c r="I194" i="11" s="1"/>
  <c r="H191" i="11"/>
  <c r="G191" i="11"/>
  <c r="I191" i="11" s="1"/>
  <c r="H188" i="11"/>
  <c r="G188" i="11"/>
  <c r="I188" i="11" s="1"/>
  <c r="F187" i="11"/>
  <c r="F189" i="11" s="1"/>
  <c r="E187" i="11"/>
  <c r="H28" i="8" s="1"/>
  <c r="D189" i="11"/>
  <c r="H185" i="11"/>
  <c r="G185" i="11"/>
  <c r="I185" i="11" s="1"/>
  <c r="F184" i="11"/>
  <c r="F186" i="11" s="1"/>
  <c r="E184" i="11"/>
  <c r="H182" i="11"/>
  <c r="G182" i="11"/>
  <c r="I182" i="11" s="1"/>
  <c r="F181" i="11"/>
  <c r="I26" i="8" s="1"/>
  <c r="G26" i="8" s="1"/>
  <c r="E181" i="11"/>
  <c r="E183" i="11" s="1"/>
  <c r="H179" i="11"/>
  <c r="G179" i="11"/>
  <c r="I179" i="11" s="1"/>
  <c r="F178" i="11"/>
  <c r="E178" i="11"/>
  <c r="I176" i="11"/>
  <c r="H176" i="11"/>
  <c r="I175" i="11"/>
  <c r="H175" i="11"/>
  <c r="D173" i="11"/>
  <c r="I172" i="11"/>
  <c r="H172" i="11"/>
  <c r="I171" i="11"/>
  <c r="H171" i="11"/>
  <c r="H164" i="11"/>
  <c r="G164" i="11"/>
  <c r="F163" i="11"/>
  <c r="E163" i="11"/>
  <c r="E165" i="11" s="1"/>
  <c r="D162" i="11"/>
  <c r="H161" i="11"/>
  <c r="G161" i="11"/>
  <c r="I161" i="11" s="1"/>
  <c r="H160" i="11"/>
  <c r="G160" i="11"/>
  <c r="I160" i="11" s="1"/>
  <c r="D159" i="11"/>
  <c r="D158" i="11"/>
  <c r="H157" i="11"/>
  <c r="G157" i="11"/>
  <c r="I157" i="11" s="1"/>
  <c r="H156" i="11"/>
  <c r="G156" i="11"/>
  <c r="I156" i="11" s="1"/>
  <c r="F155" i="11"/>
  <c r="F158" i="11" s="1"/>
  <c r="I17" i="6" s="1"/>
  <c r="G17" i="6" s="1"/>
  <c r="E155" i="11"/>
  <c r="E158" i="11" s="1"/>
  <c r="H17" i="6" s="1"/>
  <c r="D154" i="11"/>
  <c r="H153" i="11"/>
  <c r="G153" i="11"/>
  <c r="I153" i="11" s="1"/>
  <c r="H152" i="11"/>
  <c r="G152" i="11"/>
  <c r="I152" i="11" s="1"/>
  <c r="F151" i="11"/>
  <c r="E151" i="11"/>
  <c r="E154" i="11" s="1"/>
  <c r="G154" i="11" s="1"/>
  <c r="I154" i="11" s="1"/>
  <c r="D150" i="11"/>
  <c r="I149" i="11"/>
  <c r="H149" i="11"/>
  <c r="I148" i="11"/>
  <c r="H148" i="11"/>
  <c r="F150" i="11"/>
  <c r="I15" i="6" s="1"/>
  <c r="G15" i="6" s="1"/>
  <c r="E150" i="11"/>
  <c r="H15" i="6" s="1"/>
  <c r="D142" i="11"/>
  <c r="H141" i="11"/>
  <c r="G141" i="11"/>
  <c r="I141" i="11" s="1"/>
  <c r="F140" i="11"/>
  <c r="F142" i="11" s="1"/>
  <c r="E140" i="11"/>
  <c r="E142" i="11" s="1"/>
  <c r="D139" i="11"/>
  <c r="H138" i="11"/>
  <c r="G138" i="11"/>
  <c r="J137" i="11"/>
  <c r="F137" i="11"/>
  <c r="F139" i="11" s="1"/>
  <c r="E137" i="11"/>
  <c r="I136" i="11"/>
  <c r="H136" i="11"/>
  <c r="I131" i="11"/>
  <c r="D130" i="11"/>
  <c r="I129" i="11"/>
  <c r="H129" i="11"/>
  <c r="G129" i="11"/>
  <c r="F128" i="11"/>
  <c r="F130" i="11" s="1"/>
  <c r="E128" i="11"/>
  <c r="D127" i="11"/>
  <c r="H126" i="11"/>
  <c r="G126" i="11"/>
  <c r="I126" i="11" s="1"/>
  <c r="J125" i="11"/>
  <c r="F125" i="11"/>
  <c r="F127" i="11" s="1"/>
  <c r="E125" i="11"/>
  <c r="G125" i="11" s="1"/>
  <c r="I125" i="11" s="1"/>
  <c r="D124" i="11"/>
  <c r="H123" i="11"/>
  <c r="G123" i="11"/>
  <c r="I123" i="11" s="1"/>
  <c r="F122" i="11"/>
  <c r="F124" i="11" s="1"/>
  <c r="E122" i="11"/>
  <c r="D121" i="11"/>
  <c r="H120" i="11"/>
  <c r="G120" i="11"/>
  <c r="I120" i="11" s="1"/>
  <c r="F119" i="11"/>
  <c r="F543" i="11" s="1"/>
  <c r="E119" i="11"/>
  <c r="E543" i="11" s="1"/>
  <c r="I118" i="11"/>
  <c r="H118" i="11"/>
  <c r="F116" i="11"/>
  <c r="E116" i="11"/>
  <c r="D116" i="11"/>
  <c r="D115" i="11"/>
  <c r="I114" i="11"/>
  <c r="H114" i="11"/>
  <c r="H113" i="11"/>
  <c r="G113" i="11"/>
  <c r="I113" i="11" s="1"/>
  <c r="D112" i="11"/>
  <c r="H110" i="11"/>
  <c r="G110" i="11"/>
  <c r="I110" i="11" s="1"/>
  <c r="D109" i="11"/>
  <c r="E107" i="11"/>
  <c r="G107" i="11" s="1"/>
  <c r="I107" i="11" s="1"/>
  <c r="D106" i="11"/>
  <c r="D101" i="11" s="1"/>
  <c r="H105" i="11"/>
  <c r="G105" i="11"/>
  <c r="I105" i="11" s="1"/>
  <c r="I103" i="11"/>
  <c r="H103" i="11"/>
  <c r="D99" i="11"/>
  <c r="I98" i="11"/>
  <c r="H98" i="11"/>
  <c r="H96" i="11"/>
  <c r="G96" i="11"/>
  <c r="I96" i="11" s="1"/>
  <c r="F95" i="11"/>
  <c r="F97" i="11" s="1"/>
  <c r="E95" i="11"/>
  <c r="H27" i="8" s="1"/>
  <c r="D97" i="11"/>
  <c r="H93" i="11"/>
  <c r="G93" i="11"/>
  <c r="I93" i="11" s="1"/>
  <c r="F92" i="11"/>
  <c r="F94" i="11" s="1"/>
  <c r="E92" i="11"/>
  <c r="E94" i="11" s="1"/>
  <c r="D92" i="11"/>
  <c r="D91" i="11"/>
  <c r="H90" i="11"/>
  <c r="G90" i="11"/>
  <c r="I90" i="11" s="1"/>
  <c r="H89" i="11"/>
  <c r="G89" i="11"/>
  <c r="I89" i="11" s="1"/>
  <c r="H87" i="11"/>
  <c r="G87" i="11"/>
  <c r="I87" i="11" s="1"/>
  <c r="D86" i="11"/>
  <c r="D85" i="11"/>
  <c r="I83" i="11"/>
  <c r="H83" i="11"/>
  <c r="F82" i="11"/>
  <c r="F84" i="11" s="1"/>
  <c r="I11" i="7" s="1"/>
  <c r="G11" i="7" s="1"/>
  <c r="E82" i="11"/>
  <c r="H81" i="11"/>
  <c r="F79" i="11"/>
  <c r="E79" i="11"/>
  <c r="D80" i="11"/>
  <c r="H78" i="11"/>
  <c r="G78" i="11"/>
  <c r="I78" i="11" s="1"/>
  <c r="D77" i="11"/>
  <c r="F76" i="11"/>
  <c r="F77" i="11" s="1"/>
  <c r="E76" i="11"/>
  <c r="G76" i="11" s="1"/>
  <c r="I76" i="11" s="1"/>
  <c r="H75" i="11"/>
  <c r="G75" i="11"/>
  <c r="I75" i="11" s="1"/>
  <c r="D74" i="11"/>
  <c r="J73" i="11"/>
  <c r="F73" i="11"/>
  <c r="E73" i="11"/>
  <c r="G73" i="11" s="1"/>
  <c r="I73" i="11" s="1"/>
  <c r="H71" i="11"/>
  <c r="G71" i="11"/>
  <c r="I71" i="11" s="1"/>
  <c r="H70" i="11"/>
  <c r="G70" i="11"/>
  <c r="I70" i="11" s="1"/>
  <c r="F72" i="11"/>
  <c r="E72" i="11"/>
  <c r="D69" i="11"/>
  <c r="D72" i="11" s="1"/>
  <c r="H67" i="11"/>
  <c r="G67" i="11"/>
  <c r="I67" i="11" s="1"/>
  <c r="H66" i="11"/>
  <c r="G66" i="11"/>
  <c r="I66" i="11" s="1"/>
  <c r="F68" i="11"/>
  <c r="E68" i="11"/>
  <c r="D65" i="11"/>
  <c r="D59" i="11"/>
  <c r="H58" i="11"/>
  <c r="G58" i="11"/>
  <c r="H57" i="11"/>
  <c r="G57" i="11"/>
  <c r="I57" i="11" s="1"/>
  <c r="F56" i="11"/>
  <c r="F59" i="11" s="1"/>
  <c r="E56" i="11"/>
  <c r="E59" i="11" s="1"/>
  <c r="G59" i="11" s="1"/>
  <c r="I59" i="11" s="1"/>
  <c r="D55" i="11"/>
  <c r="H54" i="11"/>
  <c r="G54" i="11"/>
  <c r="I54" i="11" s="1"/>
  <c r="H53" i="11"/>
  <c r="G53" i="11"/>
  <c r="I53" i="11" s="1"/>
  <c r="J52" i="11"/>
  <c r="F52" i="11"/>
  <c r="F55" i="11" s="1"/>
  <c r="E52" i="11"/>
  <c r="G52" i="11" s="1"/>
  <c r="I52" i="11" s="1"/>
  <c r="D51" i="11"/>
  <c r="H50" i="11"/>
  <c r="G50" i="11"/>
  <c r="I50" i="11" s="1"/>
  <c r="H49" i="11"/>
  <c r="G49" i="11"/>
  <c r="J48" i="11"/>
  <c r="F48" i="11"/>
  <c r="F51" i="11" s="1"/>
  <c r="E48" i="11"/>
  <c r="F46" i="11"/>
  <c r="E46" i="11"/>
  <c r="D46" i="11"/>
  <c r="F45" i="11"/>
  <c r="E45" i="11"/>
  <c r="D45" i="11"/>
  <c r="D44" i="11"/>
  <c r="D47" i="11" s="1"/>
  <c r="I42" i="11"/>
  <c r="H42" i="11"/>
  <c r="D41" i="11"/>
  <c r="F40" i="11"/>
  <c r="I29" i="8" s="1"/>
  <c r="G29" i="8" s="1"/>
  <c r="E40" i="11"/>
  <c r="E41" i="11" s="1"/>
  <c r="I39" i="11"/>
  <c r="H39" i="11"/>
  <c r="D38" i="11"/>
  <c r="D35" i="11" s="1"/>
  <c r="J37" i="11"/>
  <c r="F37" i="11"/>
  <c r="E37" i="11"/>
  <c r="G37" i="11" s="1"/>
  <c r="I37" i="11" s="1"/>
  <c r="G36" i="11"/>
  <c r="I36" i="11" s="1"/>
  <c r="F36" i="11"/>
  <c r="E36" i="11"/>
  <c r="D36" i="11"/>
  <c r="D34" i="11"/>
  <c r="I33" i="11"/>
  <c r="H33" i="11"/>
  <c r="H32" i="11"/>
  <c r="G32" i="11"/>
  <c r="I32" i="11" s="1"/>
  <c r="D31" i="11"/>
  <c r="H29" i="11"/>
  <c r="G29" i="11"/>
  <c r="I29" i="11" s="1"/>
  <c r="D28" i="11"/>
  <c r="H26" i="11"/>
  <c r="G26" i="11"/>
  <c r="I26" i="11" s="1"/>
  <c r="D25" i="11"/>
  <c r="I23" i="11"/>
  <c r="H23" i="11"/>
  <c r="F21" i="11"/>
  <c r="F22" i="11" s="1"/>
  <c r="E21" i="11"/>
  <c r="E22" i="11" s="1"/>
  <c r="D21" i="11"/>
  <c r="C30" i="8" s="1"/>
  <c r="F30" i="8" s="1"/>
  <c r="I20" i="11"/>
  <c r="H20" i="11"/>
  <c r="F18" i="11"/>
  <c r="E18" i="11"/>
  <c r="E19" i="11" s="1"/>
  <c r="D18" i="11"/>
  <c r="D19" i="11" s="1"/>
  <c r="H17" i="11"/>
  <c r="G17" i="11"/>
  <c r="I17" i="11" s="1"/>
  <c r="D15" i="11"/>
  <c r="D16" i="11" s="1"/>
  <c r="F14" i="11"/>
  <c r="D14" i="11"/>
  <c r="D553" i="11" s="1"/>
  <c r="H13" i="11"/>
  <c r="G13" i="11"/>
  <c r="I13" i="11" s="1"/>
  <c r="E12" i="11"/>
  <c r="H12" i="11" s="1"/>
  <c r="I11" i="11"/>
  <c r="H11" i="11"/>
  <c r="D10" i="11"/>
  <c r="A3" i="11"/>
  <c r="D11" i="10"/>
  <c r="I10" i="10"/>
  <c r="H10" i="10"/>
  <c r="G10" i="10"/>
  <c r="H9" i="10"/>
  <c r="G9" i="10"/>
  <c r="I9" i="10" s="1"/>
  <c r="G8" i="10"/>
  <c r="G11" i="10" s="1"/>
  <c r="F8" i="10"/>
  <c r="F11" i="10" s="1"/>
  <c r="H11" i="10" s="1"/>
  <c r="E8" i="10"/>
  <c r="E11" i="10" s="1"/>
  <c r="D8" i="10"/>
  <c r="A3" i="10"/>
  <c r="H68" i="9"/>
  <c r="F64" i="9"/>
  <c r="D64" i="9"/>
  <c r="D59" i="9"/>
  <c r="F49" i="9"/>
  <c r="F47" i="9" s="1"/>
  <c r="E49" i="9"/>
  <c r="E47" i="9" s="1"/>
  <c r="I48" i="9"/>
  <c r="H48" i="9"/>
  <c r="F43" i="9"/>
  <c r="G45" i="9"/>
  <c r="I44" i="9"/>
  <c r="H44" i="9"/>
  <c r="D43" i="9"/>
  <c r="F40" i="9"/>
  <c r="F38" i="9" s="1"/>
  <c r="E40" i="9"/>
  <c r="I39" i="9"/>
  <c r="H39" i="9"/>
  <c r="I37" i="9"/>
  <c r="H37" i="9"/>
  <c r="F36" i="9"/>
  <c r="E36" i="9"/>
  <c r="J35" i="9"/>
  <c r="F35" i="9"/>
  <c r="E35" i="9"/>
  <c r="G35" i="9" s="1"/>
  <c r="I35" i="9" s="1"/>
  <c r="I34" i="9"/>
  <c r="H34" i="9"/>
  <c r="D33" i="9"/>
  <c r="I32" i="9"/>
  <c r="H32" i="9"/>
  <c r="F31" i="9"/>
  <c r="E31" i="9"/>
  <c r="G31" i="9" s="1"/>
  <c r="I31" i="9" s="1"/>
  <c r="J30" i="9"/>
  <c r="F30" i="9"/>
  <c r="E30" i="9"/>
  <c r="G30" i="9" s="1"/>
  <c r="I30" i="9" s="1"/>
  <c r="F29" i="9"/>
  <c r="E29" i="9"/>
  <c r="D25" i="9"/>
  <c r="F28" i="9"/>
  <c r="E28" i="9"/>
  <c r="G28" i="9" s="1"/>
  <c r="I28" i="9" s="1"/>
  <c r="J27" i="9"/>
  <c r="F27" i="9"/>
  <c r="E27" i="9"/>
  <c r="G27" i="9" s="1"/>
  <c r="I26" i="9"/>
  <c r="H26" i="9"/>
  <c r="F22" i="9"/>
  <c r="E22" i="9"/>
  <c r="F21" i="9"/>
  <c r="E21" i="9"/>
  <c r="G21" i="9" s="1"/>
  <c r="I21" i="9" s="1"/>
  <c r="I20" i="9"/>
  <c r="H20" i="9"/>
  <c r="D19" i="9"/>
  <c r="I18" i="9"/>
  <c r="H18" i="9"/>
  <c r="F17" i="9"/>
  <c r="E17" i="9"/>
  <c r="G17" i="9" s="1"/>
  <c r="I17" i="9" s="1"/>
  <c r="F16" i="9"/>
  <c r="E16" i="9"/>
  <c r="I15" i="9"/>
  <c r="H15" i="9"/>
  <c r="D14" i="9"/>
  <c r="F12" i="9"/>
  <c r="E12" i="9"/>
  <c r="F11" i="9"/>
  <c r="E11" i="9"/>
  <c r="F10" i="9"/>
  <c r="E10" i="9"/>
  <c r="I9" i="9"/>
  <c r="H9" i="9"/>
  <c r="D8" i="9"/>
  <c r="A3" i="9"/>
  <c r="E32" i="8"/>
  <c r="D32" i="8"/>
  <c r="C31" i="8"/>
  <c r="F31" i="8" s="1"/>
  <c r="B31" i="8"/>
  <c r="A31" i="8"/>
  <c r="B30" i="8"/>
  <c r="A30" i="8"/>
  <c r="C29" i="8"/>
  <c r="F29" i="8" s="1"/>
  <c r="B29" i="8"/>
  <c r="A29" i="8"/>
  <c r="B28" i="8"/>
  <c r="A28" i="8"/>
  <c r="B27" i="8"/>
  <c r="A27" i="8"/>
  <c r="C26" i="8"/>
  <c r="F26" i="8" s="1"/>
  <c r="B26" i="8"/>
  <c r="A26" i="8"/>
  <c r="C25" i="8"/>
  <c r="F25" i="8" s="1"/>
  <c r="B25" i="8"/>
  <c r="A25" i="8"/>
  <c r="C24" i="8"/>
  <c r="F24" i="8" s="1"/>
  <c r="B24" i="8"/>
  <c r="A24" i="8"/>
  <c r="C23" i="8"/>
  <c r="F23" i="8" s="1"/>
  <c r="B23" i="8"/>
  <c r="A23" i="8"/>
  <c r="C22" i="8"/>
  <c r="F22" i="8" s="1"/>
  <c r="B22" i="8"/>
  <c r="A22" i="8"/>
  <c r="C21" i="8"/>
  <c r="F21" i="8" s="1"/>
  <c r="B21" i="8"/>
  <c r="A21" i="8"/>
  <c r="C20" i="8"/>
  <c r="F20" i="8" s="1"/>
  <c r="B20" i="8"/>
  <c r="A20" i="8"/>
  <c r="C19" i="8"/>
  <c r="F19" i="8" s="1"/>
  <c r="B19" i="8"/>
  <c r="A19" i="8"/>
  <c r="C18" i="8"/>
  <c r="F18" i="8" s="1"/>
  <c r="B18" i="8"/>
  <c r="A18" i="8"/>
  <c r="C17" i="8"/>
  <c r="F17" i="8" s="1"/>
  <c r="B17" i="8"/>
  <c r="A17" i="8"/>
  <c r="C16" i="8"/>
  <c r="F16" i="8" s="1"/>
  <c r="B16" i="8"/>
  <c r="A16" i="8"/>
  <c r="C15" i="8"/>
  <c r="F15" i="8" s="1"/>
  <c r="B15" i="8"/>
  <c r="A15" i="8"/>
  <c r="C14" i="8"/>
  <c r="F14" i="8" s="1"/>
  <c r="B14" i="8"/>
  <c r="A14" i="8"/>
  <c r="C13" i="8"/>
  <c r="F13" i="8" s="1"/>
  <c r="B13" i="8"/>
  <c r="A13" i="8"/>
  <c r="C12" i="8"/>
  <c r="F12" i="8" s="1"/>
  <c r="B12" i="8"/>
  <c r="A12" i="8"/>
  <c r="C11" i="8"/>
  <c r="F11" i="8" s="1"/>
  <c r="B11" i="8"/>
  <c r="A11" i="8"/>
  <c r="C10" i="8"/>
  <c r="F10" i="8" s="1"/>
  <c r="B10" i="8"/>
  <c r="A10" i="8"/>
  <c r="B8" i="8"/>
  <c r="A8" i="8"/>
  <c r="C7" i="8"/>
  <c r="F7" i="8" s="1"/>
  <c r="B7" i="8"/>
  <c r="A7" i="8"/>
  <c r="C6" i="8"/>
  <c r="B6" i="8"/>
  <c r="A6" i="8"/>
  <c r="B14" i="7"/>
  <c r="A14" i="7"/>
  <c r="B13" i="7"/>
  <c r="A13" i="7"/>
  <c r="B12" i="7"/>
  <c r="A12" i="7"/>
  <c r="B11" i="7"/>
  <c r="A11" i="7"/>
  <c r="I10" i="7"/>
  <c r="G10" i="7" s="1"/>
  <c r="C10" i="7"/>
  <c r="F10" i="7" s="1"/>
  <c r="B10" i="7"/>
  <c r="A10" i="7"/>
  <c r="I9" i="7"/>
  <c r="H9" i="7"/>
  <c r="C9" i="7"/>
  <c r="F9" i="7" s="1"/>
  <c r="B9" i="7"/>
  <c r="A9" i="7"/>
  <c r="C8" i="7"/>
  <c r="F8" i="7" s="1"/>
  <c r="B8" i="7"/>
  <c r="A8" i="7"/>
  <c r="B7" i="7"/>
  <c r="A7" i="7"/>
  <c r="C6" i="7"/>
  <c r="B6" i="7"/>
  <c r="A6" i="7"/>
  <c r="E29" i="6"/>
  <c r="D29" i="6"/>
  <c r="G28" i="6"/>
  <c r="F28" i="6"/>
  <c r="C27" i="6"/>
  <c r="F27" i="6" s="1"/>
  <c r="B27" i="6"/>
  <c r="A27" i="6"/>
  <c r="C26" i="6"/>
  <c r="F26" i="6" s="1"/>
  <c r="B26" i="6"/>
  <c r="A26" i="6"/>
  <c r="B25" i="6"/>
  <c r="A25" i="6"/>
  <c r="C24" i="6"/>
  <c r="F24" i="6" s="1"/>
  <c r="B24" i="6"/>
  <c r="A24" i="6"/>
  <c r="C23" i="6"/>
  <c r="F23" i="6" s="1"/>
  <c r="B23" i="6"/>
  <c r="A23" i="6"/>
  <c r="B22" i="6"/>
  <c r="A22" i="6"/>
  <c r="B21" i="6"/>
  <c r="A21" i="6"/>
  <c r="C20" i="6"/>
  <c r="F20" i="6" s="1"/>
  <c r="B20" i="6"/>
  <c r="A20" i="6"/>
  <c r="C18" i="6"/>
  <c r="F18" i="6" s="1"/>
  <c r="B18" i="6"/>
  <c r="A18" i="6"/>
  <c r="C17" i="6"/>
  <c r="F17" i="6" s="1"/>
  <c r="B17" i="6"/>
  <c r="A17" i="6"/>
  <c r="C16" i="6"/>
  <c r="F16" i="6" s="1"/>
  <c r="B16" i="6"/>
  <c r="A16" i="6"/>
  <c r="C15" i="6"/>
  <c r="F15" i="6" s="1"/>
  <c r="B15" i="6"/>
  <c r="A15" i="6"/>
  <c r="C13" i="6"/>
  <c r="F13" i="6" s="1"/>
  <c r="B13" i="6"/>
  <c r="A13" i="6"/>
  <c r="C12" i="6"/>
  <c r="F12" i="6" s="1"/>
  <c r="B12" i="6"/>
  <c r="A12" i="6"/>
  <c r="B11" i="6"/>
  <c r="A11" i="6"/>
  <c r="C10" i="6"/>
  <c r="F10" i="6" s="1"/>
  <c r="B10" i="6"/>
  <c r="A10" i="6"/>
  <c r="C9" i="6"/>
  <c r="F9" i="6" s="1"/>
  <c r="B9" i="6"/>
  <c r="A9" i="6"/>
  <c r="B8" i="6"/>
  <c r="A8" i="6"/>
  <c r="C7" i="6"/>
  <c r="F7" i="6" s="1"/>
  <c r="B7" i="6"/>
  <c r="A7" i="6"/>
  <c r="C6" i="6"/>
  <c r="F6" i="6" s="1"/>
  <c r="B6" i="6"/>
  <c r="A6" i="6"/>
  <c r="KW37" i="5"/>
  <c r="KO37" i="5"/>
  <c r="KG37" i="5"/>
  <c r="JY37" i="5"/>
  <c r="JQ37" i="5"/>
  <c r="JI37" i="5"/>
  <c r="JA37" i="5"/>
  <c r="IS37" i="5"/>
  <c r="IK37" i="5"/>
  <c r="IC37" i="5"/>
  <c r="HU37" i="5"/>
  <c r="HM37" i="5"/>
  <c r="HE37" i="5"/>
  <c r="GW37" i="5"/>
  <c r="GO37" i="5"/>
  <c r="GG37" i="5"/>
  <c r="FY37" i="5"/>
  <c r="FQ37" i="5"/>
  <c r="FI37" i="5"/>
  <c r="FA37" i="5"/>
  <c r="ES37" i="5"/>
  <c r="EK37" i="5"/>
  <c r="EC37" i="5"/>
  <c r="DU37" i="5"/>
  <c r="DM37" i="5"/>
  <c r="DE37" i="5"/>
  <c r="CW37" i="5"/>
  <c r="CO37" i="5"/>
  <c r="CG37" i="5"/>
  <c r="BY37" i="5"/>
  <c r="BQ37" i="5"/>
  <c r="BI37" i="5"/>
  <c r="BA37" i="5"/>
  <c r="AS37" i="5"/>
  <c r="AK37" i="5"/>
  <c r="U37" i="5"/>
  <c r="EI35" i="5"/>
  <c r="BW35" i="5"/>
  <c r="LD32" i="5"/>
  <c r="LC32" i="5"/>
  <c r="KZ32" i="5"/>
  <c r="KY32" i="5"/>
  <c r="KV32" i="5"/>
  <c r="KR32" i="5"/>
  <c r="KN32" i="5"/>
  <c r="KM32" i="5"/>
  <c r="KJ32" i="5"/>
  <c r="KI32" i="5"/>
  <c r="KF32" i="5"/>
  <c r="KE32" i="5"/>
  <c r="KB32" i="5"/>
  <c r="KA32" i="5"/>
  <c r="JX32" i="5"/>
  <c r="JW32" i="5"/>
  <c r="JT32" i="5"/>
  <c r="JS32" i="5"/>
  <c r="JP32" i="5"/>
  <c r="JO32" i="5"/>
  <c r="JL32" i="5"/>
  <c r="JK32" i="5"/>
  <c r="IZ32" i="5"/>
  <c r="IY32" i="5"/>
  <c r="IV32" i="5"/>
  <c r="IU32" i="5"/>
  <c r="IR32" i="5"/>
  <c r="IQ32" i="5"/>
  <c r="IN32" i="5"/>
  <c r="IM32" i="5"/>
  <c r="IJ32" i="5"/>
  <c r="II32" i="5"/>
  <c r="IF32" i="5"/>
  <c r="IE32" i="5"/>
  <c r="IB32" i="5"/>
  <c r="IA32" i="5"/>
  <c r="HX32" i="5"/>
  <c r="HW32" i="5"/>
  <c r="HT32" i="5"/>
  <c r="HS32" i="5"/>
  <c r="HP32" i="5"/>
  <c r="HO32" i="5"/>
  <c r="HL32" i="5"/>
  <c r="HK32" i="5"/>
  <c r="HH32" i="5"/>
  <c r="HG32" i="5"/>
  <c r="HD32" i="5"/>
  <c r="HC32" i="5"/>
  <c r="GZ32" i="5"/>
  <c r="GY32" i="5"/>
  <c r="GV32" i="5"/>
  <c r="GU32" i="5"/>
  <c r="GR32" i="5"/>
  <c r="GQ32" i="5"/>
  <c r="GN32" i="5"/>
  <c r="GM32" i="5"/>
  <c r="GJ32" i="5"/>
  <c r="GI32" i="5"/>
  <c r="GF32" i="5"/>
  <c r="GD32" i="5"/>
  <c r="GB32" i="5"/>
  <c r="FZ32" i="5"/>
  <c r="FX32" i="5"/>
  <c r="FW32" i="5"/>
  <c r="FT32" i="5"/>
  <c r="FS32" i="5"/>
  <c r="FP32" i="5"/>
  <c r="FO32" i="5"/>
  <c r="FL32" i="5"/>
  <c r="FK32" i="5"/>
  <c r="FH32" i="5"/>
  <c r="FG32" i="5"/>
  <c r="FD32" i="5"/>
  <c r="FC32" i="5"/>
  <c r="EZ32" i="5"/>
  <c r="EY32" i="5"/>
  <c r="EV32" i="5"/>
  <c r="EU32" i="5"/>
  <c r="ER32" i="5"/>
  <c r="EQ32" i="5"/>
  <c r="EN32" i="5"/>
  <c r="EM32" i="5"/>
  <c r="EJ32" i="5"/>
  <c r="EI32" i="5"/>
  <c r="EF32" i="5"/>
  <c r="EE32" i="5"/>
  <c r="EB32" i="5"/>
  <c r="EA32" i="5"/>
  <c r="DX32" i="5"/>
  <c r="DW32" i="5"/>
  <c r="DT32" i="5"/>
  <c r="DS32" i="5"/>
  <c r="DP32" i="5"/>
  <c r="DO32" i="5"/>
  <c r="DL32" i="5"/>
  <c r="DK32" i="5"/>
  <c r="DH32" i="5"/>
  <c r="DG32" i="5"/>
  <c r="DD32" i="5"/>
  <c r="DC32" i="5"/>
  <c r="CZ32" i="5"/>
  <c r="CY32" i="5"/>
  <c r="CV32" i="5"/>
  <c r="CU32" i="5"/>
  <c r="CR32" i="5"/>
  <c r="CQ32" i="5"/>
  <c r="CN32" i="5"/>
  <c r="CM32" i="5"/>
  <c r="CJ32" i="5"/>
  <c r="CI32" i="5"/>
  <c r="CF32" i="5"/>
  <c r="CE32" i="5"/>
  <c r="CB32" i="5"/>
  <c r="CA32" i="5"/>
  <c r="BX32" i="5"/>
  <c r="BW32" i="5"/>
  <c r="BT32" i="5"/>
  <c r="BS32" i="5"/>
  <c r="BP32" i="5"/>
  <c r="BO32" i="5"/>
  <c r="BL32" i="5"/>
  <c r="BK32" i="5"/>
  <c r="BH32" i="5"/>
  <c r="BG32" i="5"/>
  <c r="BD32" i="5"/>
  <c r="BC32" i="5"/>
  <c r="AZ32" i="5"/>
  <c r="AY32" i="5"/>
  <c r="AV32" i="5"/>
  <c r="AU32" i="5"/>
  <c r="AR32" i="5"/>
  <c r="AQ32" i="5"/>
  <c r="AN32" i="5"/>
  <c r="AM32" i="5"/>
  <c r="AB32" i="5"/>
  <c r="AA32" i="5"/>
  <c r="X32" i="5"/>
  <c r="W32" i="5"/>
  <c r="KT31" i="5"/>
  <c r="KP31" i="5"/>
  <c r="JH31" i="5"/>
  <c r="T31" i="5" s="1"/>
  <c r="I31" i="5" s="1"/>
  <c r="JG31" i="5"/>
  <c r="JF31" i="5"/>
  <c r="JE31" i="5"/>
  <c r="JD31" i="5"/>
  <c r="P31" i="5" s="1"/>
  <c r="E31" i="5" s="1"/>
  <c r="JC31" i="5"/>
  <c r="JB31" i="5"/>
  <c r="HI31" i="5"/>
  <c r="HJ31" i="5" s="1"/>
  <c r="DQ31" i="5"/>
  <c r="DR31" i="5" s="1"/>
  <c r="DM31" i="5"/>
  <c r="DN31" i="5" s="1"/>
  <c r="CK31" i="5"/>
  <c r="CL31" i="5" s="1"/>
  <c r="AW31" i="5"/>
  <c r="AX31" i="5" s="1"/>
  <c r="KT30" i="5"/>
  <c r="KP30" i="5"/>
  <c r="KK30" i="5"/>
  <c r="KL30" i="5" s="1"/>
  <c r="JM30" i="5"/>
  <c r="JH30" i="5"/>
  <c r="T30" i="5" s="1"/>
  <c r="I30" i="5" s="1"/>
  <c r="I32" i="5" s="1"/>
  <c r="JG30" i="5"/>
  <c r="JF30" i="5"/>
  <c r="JE30" i="5"/>
  <c r="JD30" i="5"/>
  <c r="P30" i="5" s="1"/>
  <c r="E30" i="5" s="1"/>
  <c r="JC30" i="5"/>
  <c r="JB30" i="5"/>
  <c r="HY30" i="5"/>
  <c r="GS30" i="5"/>
  <c r="FM30" i="5"/>
  <c r="EG30" i="5"/>
  <c r="DM30" i="5"/>
  <c r="DA30" i="5"/>
  <c r="AO30" i="5"/>
  <c r="Y30" i="5"/>
  <c r="LD28" i="5"/>
  <c r="LD35" i="5" s="1"/>
  <c r="KZ28" i="5"/>
  <c r="KZ35" i="5" s="1"/>
  <c r="KV28" i="5"/>
  <c r="KV35" i="5" s="1"/>
  <c r="KR28" i="5"/>
  <c r="KR35" i="5" s="1"/>
  <c r="KN28" i="5"/>
  <c r="KJ28" i="5"/>
  <c r="KJ35" i="5" s="1"/>
  <c r="KF28" i="5"/>
  <c r="KF35" i="5" s="1"/>
  <c r="KE28" i="5"/>
  <c r="KE35" i="5" s="1"/>
  <c r="KB28" i="5"/>
  <c r="KB35" i="5" s="1"/>
  <c r="KA28" i="5"/>
  <c r="KA35" i="5" s="1"/>
  <c r="JX28" i="5"/>
  <c r="JW28" i="5"/>
  <c r="JT28" i="5"/>
  <c r="JT35" i="5" s="1"/>
  <c r="JS28" i="5"/>
  <c r="JS35" i="5" s="1"/>
  <c r="JP28" i="5"/>
  <c r="JP35" i="5" s="1"/>
  <c r="JO28" i="5"/>
  <c r="JO35" i="5" s="1"/>
  <c r="JL28" i="5"/>
  <c r="JL35" i="5" s="1"/>
  <c r="JK28" i="5"/>
  <c r="JK35" i="5" s="1"/>
  <c r="IZ28" i="5"/>
  <c r="IY28" i="5"/>
  <c r="IY35" i="5" s="1"/>
  <c r="IV28" i="5"/>
  <c r="IV35" i="5" s="1"/>
  <c r="IU28" i="5"/>
  <c r="IU35" i="5" s="1"/>
  <c r="IR28" i="5"/>
  <c r="IR35" i="5" s="1"/>
  <c r="IN28" i="5"/>
  <c r="IN35" i="5" s="1"/>
  <c r="II28" i="5"/>
  <c r="II35" i="5" s="1"/>
  <c r="IH28" i="5"/>
  <c r="IE28" i="5"/>
  <c r="IE35" i="5" s="1"/>
  <c r="ID28" i="5"/>
  <c r="IB28" i="5"/>
  <c r="IB35" i="5" s="1"/>
  <c r="IA28" i="5"/>
  <c r="IA35" i="5" s="1"/>
  <c r="HX28" i="5"/>
  <c r="HX35" i="5" s="1"/>
  <c r="HW28" i="5"/>
  <c r="HW35" i="5" s="1"/>
  <c r="HS28" i="5"/>
  <c r="HS35" i="5" s="1"/>
  <c r="HO28" i="5"/>
  <c r="HO35" i="5" s="1"/>
  <c r="HL28" i="5"/>
  <c r="HL35" i="5" s="1"/>
  <c r="HK28" i="5"/>
  <c r="HK35" i="5" s="1"/>
  <c r="HH28" i="5"/>
  <c r="HG28" i="5"/>
  <c r="HG35" i="5" s="1"/>
  <c r="HD28" i="5"/>
  <c r="HD35" i="5" s="1"/>
  <c r="HC28" i="5"/>
  <c r="HC35" i="5" s="1"/>
  <c r="GZ28" i="5"/>
  <c r="GZ35" i="5" s="1"/>
  <c r="GY28" i="5"/>
  <c r="GY35" i="5" s="1"/>
  <c r="GN28" i="5"/>
  <c r="GN35" i="5" s="1"/>
  <c r="GM28" i="5"/>
  <c r="GM35" i="5" s="1"/>
  <c r="GJ28" i="5"/>
  <c r="GJ35" i="5" s="1"/>
  <c r="GI28" i="5"/>
  <c r="GI35" i="5" s="1"/>
  <c r="GF28" i="5"/>
  <c r="GF35" i="5" s="1"/>
  <c r="GD28" i="5"/>
  <c r="GD35" i="5" s="1"/>
  <c r="GB28" i="5"/>
  <c r="GB35" i="5" s="1"/>
  <c r="FZ28" i="5"/>
  <c r="FZ35" i="5" s="1"/>
  <c r="FP28" i="5"/>
  <c r="FP35" i="5" s="1"/>
  <c r="FO28" i="5"/>
  <c r="FO35" i="5" s="1"/>
  <c r="FN28" i="5"/>
  <c r="FL28" i="5"/>
  <c r="FL35" i="5" s="1"/>
  <c r="FK28" i="5"/>
  <c r="FK35" i="5" s="1"/>
  <c r="FJ28" i="5"/>
  <c r="FH28" i="5"/>
  <c r="FH35" i="5" s="1"/>
  <c r="FG28" i="5"/>
  <c r="FG35" i="5" s="1"/>
  <c r="FD28" i="5"/>
  <c r="FD35" i="5" s="1"/>
  <c r="FC28" i="5"/>
  <c r="FC35" i="5" s="1"/>
  <c r="EZ28" i="5"/>
  <c r="EZ35" i="5" s="1"/>
  <c r="EY28" i="5"/>
  <c r="EY35" i="5" s="1"/>
  <c r="EV28" i="5"/>
  <c r="EV35" i="5" s="1"/>
  <c r="EU28" i="5"/>
  <c r="EU35" i="5" s="1"/>
  <c r="ET28" i="5"/>
  <c r="EQ28" i="5"/>
  <c r="EQ35" i="5" s="1"/>
  <c r="EP28" i="5"/>
  <c r="EM28" i="5"/>
  <c r="EM35" i="5" s="1"/>
  <c r="EL28" i="5"/>
  <c r="EJ28" i="5"/>
  <c r="EJ35" i="5" s="1"/>
  <c r="EI28" i="5"/>
  <c r="EF28" i="5"/>
  <c r="EF35" i="5" s="1"/>
  <c r="EE28" i="5"/>
  <c r="EE35" i="5" s="1"/>
  <c r="EB28" i="5"/>
  <c r="EB35" i="5" s="1"/>
  <c r="EA28" i="5"/>
  <c r="EA35" i="5" s="1"/>
  <c r="DX28" i="5"/>
  <c r="DX35" i="5" s="1"/>
  <c r="DW28" i="5"/>
  <c r="DW35" i="5" s="1"/>
  <c r="DT28" i="5"/>
  <c r="DT35" i="5" s="1"/>
  <c r="DS28" i="5"/>
  <c r="DS35" i="5" s="1"/>
  <c r="DP28" i="5"/>
  <c r="DP35" i="5" s="1"/>
  <c r="DO28" i="5"/>
  <c r="DO35" i="5" s="1"/>
  <c r="DL28" i="5"/>
  <c r="DL35" i="5" s="1"/>
  <c r="DK28" i="5"/>
  <c r="DK35" i="5" s="1"/>
  <c r="DH28" i="5"/>
  <c r="DH35" i="5" s="1"/>
  <c r="DG28" i="5"/>
  <c r="DG35" i="5" s="1"/>
  <c r="DD28" i="5"/>
  <c r="DD35" i="5" s="1"/>
  <c r="CZ28" i="5"/>
  <c r="CZ35" i="5" s="1"/>
  <c r="CV28" i="5"/>
  <c r="CV35" i="5" s="1"/>
  <c r="CU28" i="5"/>
  <c r="CU35" i="5" s="1"/>
  <c r="CR28" i="5"/>
  <c r="CR35" i="5" s="1"/>
  <c r="CQ28" i="5"/>
  <c r="CQ35" i="5" s="1"/>
  <c r="CN28" i="5"/>
  <c r="CN35" i="5" s="1"/>
  <c r="CM28" i="5"/>
  <c r="CM35" i="5" s="1"/>
  <c r="CJ28" i="5"/>
  <c r="CJ35" i="5" s="1"/>
  <c r="CI28" i="5"/>
  <c r="CI35" i="5" s="1"/>
  <c r="CF28" i="5"/>
  <c r="CF35" i="5" s="1"/>
  <c r="CE28" i="5"/>
  <c r="CE35" i="5" s="1"/>
  <c r="CB28" i="5"/>
  <c r="CB35" i="5" s="1"/>
  <c r="CA28" i="5"/>
  <c r="CA35" i="5" s="1"/>
  <c r="BX28" i="5"/>
  <c r="BX35" i="5" s="1"/>
  <c r="BW28" i="5"/>
  <c r="BT28" i="5"/>
  <c r="BT35" i="5" s="1"/>
  <c r="BS28" i="5"/>
  <c r="BS35" i="5" s="1"/>
  <c r="BP28" i="5"/>
  <c r="BP35" i="5" s="1"/>
  <c r="BO28" i="5"/>
  <c r="BO35" i="5" s="1"/>
  <c r="BL28" i="5"/>
  <c r="BL35" i="5" s="1"/>
  <c r="BK28" i="5"/>
  <c r="BK35" i="5" s="1"/>
  <c r="BG28" i="5"/>
  <c r="BG35" i="5" s="1"/>
  <c r="BC28" i="5"/>
  <c r="BC35" i="5" s="1"/>
  <c r="AZ28" i="5"/>
  <c r="AZ35" i="5" s="1"/>
  <c r="AY28" i="5"/>
  <c r="AY35" i="5" s="1"/>
  <c r="AV28" i="5"/>
  <c r="AV35" i="5" s="1"/>
  <c r="AU28" i="5"/>
  <c r="AU35" i="5" s="1"/>
  <c r="AR28" i="5"/>
  <c r="AR35" i="5" s="1"/>
  <c r="AQ28" i="5"/>
  <c r="AQ35" i="5" s="1"/>
  <c r="AN28" i="5"/>
  <c r="AM28" i="5"/>
  <c r="AM35" i="5" s="1"/>
  <c r="LC27" i="5"/>
  <c r="LB27" i="5"/>
  <c r="KY27" i="5"/>
  <c r="KX27" i="5"/>
  <c r="KT27" i="5"/>
  <c r="KP27" i="5"/>
  <c r="JH27" i="5"/>
  <c r="JG27" i="5"/>
  <c r="JF27" i="5"/>
  <c r="JD27" i="5"/>
  <c r="JC27" i="5"/>
  <c r="JB27" i="5"/>
  <c r="IP27" i="5"/>
  <c r="IL27" i="5"/>
  <c r="IJ27" i="5"/>
  <c r="IF27" i="5"/>
  <c r="HT27" i="5"/>
  <c r="HP27" i="5"/>
  <c r="GV27" i="5"/>
  <c r="GU27" i="5"/>
  <c r="GR27" i="5"/>
  <c r="GQ27" i="5"/>
  <c r="FX27" i="5"/>
  <c r="FW27" i="5"/>
  <c r="FV27" i="5"/>
  <c r="FT27" i="5"/>
  <c r="FS27" i="5"/>
  <c r="FR27" i="5"/>
  <c r="EX28" i="5"/>
  <c r="DY27" i="5"/>
  <c r="DZ27" i="5" s="1"/>
  <c r="DQ27" i="5"/>
  <c r="DR27" i="5" s="1"/>
  <c r="DI27" i="5"/>
  <c r="DJ27" i="5" s="1"/>
  <c r="DB27" i="5"/>
  <c r="CX27" i="5"/>
  <c r="CK27" i="5"/>
  <c r="CL27" i="5" s="1"/>
  <c r="CC27" i="5"/>
  <c r="CD27" i="5" s="1"/>
  <c r="BH27" i="5"/>
  <c r="BF27" i="5"/>
  <c r="BE27" i="5"/>
  <c r="BD27" i="5"/>
  <c r="BB27" i="5"/>
  <c r="AX27" i="5"/>
  <c r="AT27" i="5"/>
  <c r="AB27" i="5"/>
  <c r="AA27" i="5"/>
  <c r="Z27" i="5"/>
  <c r="X27" i="5"/>
  <c r="W27" i="5"/>
  <c r="V27" i="5"/>
  <c r="LC26" i="5"/>
  <c r="LB26" i="5"/>
  <c r="KY26" i="5"/>
  <c r="KX26" i="5"/>
  <c r="KT26" i="5"/>
  <c r="KP26" i="5"/>
  <c r="KC26" i="5"/>
  <c r="KD26" i="5" s="1"/>
  <c r="JH26" i="5"/>
  <c r="JG26" i="5"/>
  <c r="JF26" i="5"/>
  <c r="JD26" i="5"/>
  <c r="JC26" i="5"/>
  <c r="JB26" i="5"/>
  <c r="IW26" i="5"/>
  <c r="IX26" i="5" s="1"/>
  <c r="IP26" i="5"/>
  <c r="IL26" i="5"/>
  <c r="IJ26" i="5"/>
  <c r="IF26" i="5"/>
  <c r="HY26" i="5"/>
  <c r="HZ26" i="5" s="1"/>
  <c r="HT26" i="5"/>
  <c r="HQ26" i="5"/>
  <c r="HP26" i="5"/>
  <c r="GV26" i="5"/>
  <c r="GU26" i="5"/>
  <c r="GR26" i="5"/>
  <c r="GQ26" i="5"/>
  <c r="GK26" i="5"/>
  <c r="GL26" i="5" s="1"/>
  <c r="FX26" i="5"/>
  <c r="FW26" i="5"/>
  <c r="FV26" i="5"/>
  <c r="FT26" i="5"/>
  <c r="FS26" i="5"/>
  <c r="FR26" i="5"/>
  <c r="FE26" i="5"/>
  <c r="FF26" i="5" s="1"/>
  <c r="EO26" i="5"/>
  <c r="ER26" i="5" s="1"/>
  <c r="DY26" i="5"/>
  <c r="DZ26" i="5" s="1"/>
  <c r="DQ26" i="5"/>
  <c r="DR26" i="5" s="1"/>
  <c r="DB26" i="5"/>
  <c r="CX26" i="5"/>
  <c r="BH26" i="5"/>
  <c r="BF26" i="5"/>
  <c r="BD26" i="5"/>
  <c r="BB26" i="5"/>
  <c r="AX26" i="5"/>
  <c r="AT26" i="5"/>
  <c r="AB26" i="5"/>
  <c r="AA26" i="5"/>
  <c r="Z26" i="5"/>
  <c r="Y26" i="5"/>
  <c r="X26" i="5"/>
  <c r="W26" i="5"/>
  <c r="V26" i="5"/>
  <c r="LC25" i="5"/>
  <c r="LB25" i="5"/>
  <c r="KY25" i="5"/>
  <c r="KX25" i="5"/>
  <c r="KT25" i="5"/>
  <c r="KS25" i="5"/>
  <c r="KP25" i="5"/>
  <c r="JM25" i="5"/>
  <c r="JN25" i="5" s="1"/>
  <c r="JH25" i="5"/>
  <c r="JG25" i="5"/>
  <c r="JF25" i="5"/>
  <c r="JD25" i="5"/>
  <c r="JC25" i="5"/>
  <c r="JB25" i="5"/>
  <c r="IW25" i="5"/>
  <c r="IX25" i="5" s="1"/>
  <c r="IP25" i="5"/>
  <c r="IL25" i="5"/>
  <c r="IJ25" i="5"/>
  <c r="IG25" i="5"/>
  <c r="IF25" i="5"/>
  <c r="HT25" i="5"/>
  <c r="HP25" i="5"/>
  <c r="HA25" i="5"/>
  <c r="HB25" i="5" s="1"/>
  <c r="GV25" i="5"/>
  <c r="GU25" i="5"/>
  <c r="GR25" i="5"/>
  <c r="GQ25" i="5"/>
  <c r="FX25" i="5"/>
  <c r="FW25" i="5"/>
  <c r="FV25" i="5"/>
  <c r="FU25" i="5"/>
  <c r="FT25" i="5"/>
  <c r="FS25" i="5"/>
  <c r="FR25" i="5"/>
  <c r="EO25" i="5"/>
  <c r="ER25" i="5" s="1"/>
  <c r="DI25" i="5"/>
  <c r="DJ25" i="5" s="1"/>
  <c r="DB25" i="5"/>
  <c r="CX25" i="5"/>
  <c r="CC25" i="5"/>
  <c r="CD25" i="5" s="1"/>
  <c r="BU25" i="5"/>
  <c r="BV25" i="5" s="1"/>
  <c r="BM25" i="5"/>
  <c r="BN25" i="5" s="1"/>
  <c r="BH25" i="5"/>
  <c r="BF25" i="5"/>
  <c r="BD25" i="5"/>
  <c r="BB25" i="5"/>
  <c r="AX25" i="5"/>
  <c r="AW25" i="5"/>
  <c r="AT25" i="5"/>
  <c r="AB25" i="5"/>
  <c r="AA25" i="5"/>
  <c r="Z25" i="5"/>
  <c r="X25" i="5"/>
  <c r="W25" i="5"/>
  <c r="V25" i="5"/>
  <c r="LC24" i="5"/>
  <c r="LB24" i="5"/>
  <c r="KY24" i="5"/>
  <c r="KX24" i="5"/>
  <c r="KT24" i="5"/>
  <c r="KP24" i="5"/>
  <c r="JH24" i="5"/>
  <c r="JG24" i="5"/>
  <c r="JF24" i="5"/>
  <c r="JD24" i="5"/>
  <c r="JC24" i="5"/>
  <c r="JB24" i="5"/>
  <c r="IP24" i="5"/>
  <c r="IL24" i="5"/>
  <c r="IJ24" i="5"/>
  <c r="IG24" i="5"/>
  <c r="IF24" i="5"/>
  <c r="HT24" i="5"/>
  <c r="HP24" i="5"/>
  <c r="HA24" i="5"/>
  <c r="HB24" i="5" s="1"/>
  <c r="GV24" i="5"/>
  <c r="GU24" i="5"/>
  <c r="GR24" i="5"/>
  <c r="GQ24" i="5"/>
  <c r="FX24" i="5"/>
  <c r="FW24" i="5"/>
  <c r="FV24" i="5"/>
  <c r="FU24" i="5"/>
  <c r="FT24" i="5"/>
  <c r="FS24" i="5"/>
  <c r="FR24" i="5"/>
  <c r="DB24" i="5"/>
  <c r="CX24" i="5"/>
  <c r="BM24" i="5"/>
  <c r="BN24" i="5" s="1"/>
  <c r="BH24" i="5"/>
  <c r="BF24" i="5"/>
  <c r="BD24" i="5"/>
  <c r="BB24" i="5"/>
  <c r="AX24" i="5"/>
  <c r="AT24" i="5"/>
  <c r="AB24" i="5"/>
  <c r="AA24" i="5"/>
  <c r="Z24" i="5"/>
  <c r="X24" i="5"/>
  <c r="W24" i="5"/>
  <c r="V24" i="5"/>
  <c r="LC23" i="5"/>
  <c r="LB23" i="5"/>
  <c r="KY23" i="5"/>
  <c r="KX23" i="5"/>
  <c r="KT23" i="5"/>
  <c r="KP23" i="5"/>
  <c r="JH23" i="5"/>
  <c r="JG23" i="5"/>
  <c r="JF23" i="5"/>
  <c r="JD23" i="5"/>
  <c r="JC23" i="5"/>
  <c r="JB23" i="5"/>
  <c r="IP23" i="5"/>
  <c r="IL23" i="5"/>
  <c r="IJ23" i="5"/>
  <c r="IF23" i="5"/>
  <c r="HT23" i="5"/>
  <c r="HP23" i="5"/>
  <c r="GV23" i="5"/>
  <c r="GU23" i="5"/>
  <c r="GR23" i="5"/>
  <c r="GQ23" i="5"/>
  <c r="GG23" i="5"/>
  <c r="GH23" i="5" s="1"/>
  <c r="FX23" i="5"/>
  <c r="FW23" i="5"/>
  <c r="FV23" i="5"/>
  <c r="FU23" i="5"/>
  <c r="FT23" i="5"/>
  <c r="FS23" i="5"/>
  <c r="FR23" i="5"/>
  <c r="DY23" i="5"/>
  <c r="DZ23" i="5" s="1"/>
  <c r="DB23" i="5"/>
  <c r="CX23" i="5"/>
  <c r="CS23" i="5"/>
  <c r="CT23" i="5" s="1"/>
  <c r="BM23" i="5"/>
  <c r="BN23" i="5" s="1"/>
  <c r="BH23" i="5"/>
  <c r="BF23" i="5"/>
  <c r="BD23" i="5"/>
  <c r="BB23" i="5"/>
  <c r="AX23" i="5"/>
  <c r="AT23" i="5"/>
  <c r="AB23" i="5"/>
  <c r="AA23" i="5"/>
  <c r="Z23" i="5"/>
  <c r="Y23" i="5"/>
  <c r="X23" i="5"/>
  <c r="W23" i="5"/>
  <c r="V23" i="5"/>
  <c r="LC22" i="5"/>
  <c r="LB22" i="5"/>
  <c r="KY22" i="5"/>
  <c r="KX22" i="5"/>
  <c r="KT22" i="5"/>
  <c r="KS22" i="5"/>
  <c r="KP22" i="5"/>
  <c r="KC22" i="5"/>
  <c r="KD22" i="5" s="1"/>
  <c r="JM22" i="5"/>
  <c r="JN22" i="5" s="1"/>
  <c r="JH22" i="5"/>
  <c r="JG22" i="5"/>
  <c r="JF22" i="5"/>
  <c r="JE22" i="5"/>
  <c r="JD22" i="5"/>
  <c r="JC22" i="5"/>
  <c r="JB22" i="5"/>
  <c r="IW22" i="5"/>
  <c r="IX22" i="5" s="1"/>
  <c r="IP22" i="5"/>
  <c r="IL22" i="5"/>
  <c r="IJ22" i="5"/>
  <c r="IG22" i="5"/>
  <c r="IF22" i="5"/>
  <c r="HY22" i="5"/>
  <c r="HZ22" i="5" s="1"/>
  <c r="HT22" i="5"/>
  <c r="HQ22" i="5"/>
  <c r="HP22" i="5"/>
  <c r="HA22" i="5"/>
  <c r="HB22" i="5" s="1"/>
  <c r="GV22" i="5"/>
  <c r="GU22" i="5"/>
  <c r="GS22" i="5"/>
  <c r="GR22" i="5"/>
  <c r="GQ22" i="5"/>
  <c r="GK22" i="5"/>
  <c r="GL22" i="5" s="1"/>
  <c r="FX22" i="5"/>
  <c r="FW22" i="5"/>
  <c r="FV22" i="5"/>
  <c r="FU22" i="5"/>
  <c r="FT22" i="5"/>
  <c r="FS22" i="5"/>
  <c r="FR22" i="5"/>
  <c r="FM22" i="5"/>
  <c r="FE22" i="5"/>
  <c r="EO22" i="5"/>
  <c r="ER22" i="5" s="1"/>
  <c r="EG22" i="5"/>
  <c r="EH22" i="5" s="1"/>
  <c r="DY22" i="5"/>
  <c r="DZ22" i="5" s="1"/>
  <c r="DI22" i="5"/>
  <c r="DJ22" i="5" s="1"/>
  <c r="DB22" i="5"/>
  <c r="DA22" i="5"/>
  <c r="CX22" i="5"/>
  <c r="CS22" i="5"/>
  <c r="CT22" i="5" s="1"/>
  <c r="CC22" i="5"/>
  <c r="CD22" i="5" s="1"/>
  <c r="BU22" i="5"/>
  <c r="BV22" i="5" s="1"/>
  <c r="BM22" i="5"/>
  <c r="BN22" i="5" s="1"/>
  <c r="BH22" i="5"/>
  <c r="BF22" i="5"/>
  <c r="BD22" i="5"/>
  <c r="BB22" i="5"/>
  <c r="AX22" i="5"/>
  <c r="AW22" i="5"/>
  <c r="AT22" i="5"/>
  <c r="AO22" i="5"/>
  <c r="AP22" i="5" s="1"/>
  <c r="AB22" i="5"/>
  <c r="AA22" i="5"/>
  <c r="Z22" i="5"/>
  <c r="Y22" i="5"/>
  <c r="X22" i="5"/>
  <c r="W22" i="5"/>
  <c r="V22" i="5"/>
  <c r="LC21" i="5"/>
  <c r="LB21" i="5"/>
  <c r="LA21" i="5"/>
  <c r="KY21" i="5"/>
  <c r="KX21" i="5"/>
  <c r="KT21" i="5"/>
  <c r="KS21" i="5"/>
  <c r="KP21" i="5"/>
  <c r="KC21" i="5"/>
  <c r="KD21" i="5" s="1"/>
  <c r="JU21" i="5"/>
  <c r="JV21" i="5" s="1"/>
  <c r="JH21" i="5"/>
  <c r="JG21" i="5"/>
  <c r="JF21" i="5"/>
  <c r="JD21" i="5"/>
  <c r="JC21" i="5"/>
  <c r="JB21" i="5"/>
  <c r="IW21" i="5"/>
  <c r="IX21" i="5" s="1"/>
  <c r="IP21" i="5"/>
  <c r="IO21" i="5"/>
  <c r="IL21" i="5"/>
  <c r="IJ21" i="5"/>
  <c r="IG21" i="5"/>
  <c r="IF21" i="5"/>
  <c r="HT21" i="5"/>
  <c r="HP21" i="5"/>
  <c r="HI21" i="5"/>
  <c r="HJ21" i="5" s="1"/>
  <c r="GV21" i="5"/>
  <c r="GU21" i="5"/>
  <c r="GR21" i="5"/>
  <c r="GQ21" i="5"/>
  <c r="GK21" i="5"/>
  <c r="GL21" i="5" s="1"/>
  <c r="GC21" i="5"/>
  <c r="GE21" i="5" s="1"/>
  <c r="FX21" i="5"/>
  <c r="FW21" i="5"/>
  <c r="FV21" i="5"/>
  <c r="FU21" i="5"/>
  <c r="FT21" i="5"/>
  <c r="FS21" i="5"/>
  <c r="FR21" i="5"/>
  <c r="FE21" i="5"/>
  <c r="EO21" i="5"/>
  <c r="ER21" i="5" s="1"/>
  <c r="DQ21" i="5"/>
  <c r="DR21" i="5" s="1"/>
  <c r="DB21" i="5"/>
  <c r="CX21" i="5"/>
  <c r="CS21" i="5"/>
  <c r="CT21" i="5" s="1"/>
  <c r="BH21" i="5"/>
  <c r="BF21" i="5"/>
  <c r="BD21" i="5"/>
  <c r="BB21" i="5"/>
  <c r="AX21" i="5"/>
  <c r="AT21" i="5"/>
  <c r="AB21" i="5"/>
  <c r="AA21" i="5"/>
  <c r="Z21" i="5"/>
  <c r="X21" i="5"/>
  <c r="W21" i="5"/>
  <c r="V21" i="5"/>
  <c r="LC20" i="5"/>
  <c r="LB20" i="5"/>
  <c r="KY20" i="5"/>
  <c r="KX20" i="5"/>
  <c r="KT20" i="5"/>
  <c r="KS20" i="5"/>
  <c r="KP20" i="5"/>
  <c r="KC20" i="5"/>
  <c r="KD20" i="5" s="1"/>
  <c r="JH20" i="5"/>
  <c r="JG20" i="5"/>
  <c r="JF20" i="5"/>
  <c r="JD20" i="5"/>
  <c r="JC20" i="5"/>
  <c r="JB20" i="5"/>
  <c r="IW20" i="5"/>
  <c r="IX20" i="5" s="1"/>
  <c r="IP20" i="5"/>
  <c r="IL20" i="5"/>
  <c r="IJ20" i="5"/>
  <c r="IF20" i="5"/>
  <c r="HT20" i="5"/>
  <c r="HQ20" i="5"/>
  <c r="HP20" i="5"/>
  <c r="GV20" i="5"/>
  <c r="GU20" i="5"/>
  <c r="GR20" i="5"/>
  <c r="GQ20" i="5"/>
  <c r="GK20" i="5"/>
  <c r="GL20" i="5" s="1"/>
  <c r="FX20" i="5"/>
  <c r="FW20" i="5"/>
  <c r="FV20" i="5"/>
  <c r="FT20" i="5"/>
  <c r="FS20" i="5"/>
  <c r="FR20" i="5"/>
  <c r="FE20" i="5"/>
  <c r="EG20" i="5"/>
  <c r="EH20" i="5" s="1"/>
  <c r="DY20" i="5"/>
  <c r="DZ20" i="5" s="1"/>
  <c r="DB20" i="5"/>
  <c r="CX20" i="5"/>
  <c r="CS20" i="5"/>
  <c r="CT20" i="5" s="1"/>
  <c r="BM20" i="5"/>
  <c r="BN20" i="5" s="1"/>
  <c r="BH20" i="5"/>
  <c r="BF20" i="5"/>
  <c r="BD20" i="5"/>
  <c r="BB20" i="5"/>
  <c r="AX20" i="5"/>
  <c r="AT20" i="5"/>
  <c r="AB20" i="5"/>
  <c r="AA20" i="5"/>
  <c r="Z20" i="5"/>
  <c r="Y20" i="5"/>
  <c r="X20" i="5"/>
  <c r="W20" i="5"/>
  <c r="V20" i="5"/>
  <c r="LC19" i="5"/>
  <c r="LB19" i="5"/>
  <c r="KY19" i="5"/>
  <c r="KX19" i="5"/>
  <c r="KT19" i="5"/>
  <c r="KS19" i="5"/>
  <c r="KP19" i="5"/>
  <c r="JU19" i="5"/>
  <c r="JV19" i="5" s="1"/>
  <c r="JM19" i="5"/>
  <c r="JN19" i="5" s="1"/>
  <c r="JH19" i="5"/>
  <c r="JG19" i="5"/>
  <c r="JF19" i="5"/>
  <c r="JD19" i="5"/>
  <c r="JC19" i="5"/>
  <c r="JB19" i="5"/>
  <c r="IP19" i="5"/>
  <c r="IL19" i="5"/>
  <c r="IJ19" i="5"/>
  <c r="IG19" i="5"/>
  <c r="IF19" i="5"/>
  <c r="HT19" i="5"/>
  <c r="HP19" i="5"/>
  <c r="HA19" i="5"/>
  <c r="HB19" i="5" s="1"/>
  <c r="GV19" i="5"/>
  <c r="GU19" i="5"/>
  <c r="GR19" i="5"/>
  <c r="GQ19" i="5"/>
  <c r="FX19" i="5"/>
  <c r="FW19" i="5"/>
  <c r="FV19" i="5"/>
  <c r="FU19" i="5"/>
  <c r="FT19" i="5"/>
  <c r="FS19" i="5"/>
  <c r="FR19" i="5"/>
  <c r="DQ19" i="5"/>
  <c r="DR19" i="5" s="1"/>
  <c r="DB19" i="5"/>
  <c r="DA19" i="5"/>
  <c r="CX19" i="5"/>
  <c r="CK19" i="5"/>
  <c r="CL19" i="5" s="1"/>
  <c r="BH19" i="5"/>
  <c r="BF19" i="5"/>
  <c r="BD19" i="5"/>
  <c r="BB19" i="5"/>
  <c r="AX19" i="5"/>
  <c r="AW19" i="5"/>
  <c r="AT19" i="5"/>
  <c r="AB19" i="5"/>
  <c r="AA19" i="5"/>
  <c r="Z19" i="5"/>
  <c r="Y19" i="5"/>
  <c r="X19" i="5"/>
  <c r="W19" i="5"/>
  <c r="V19" i="5"/>
  <c r="LC18" i="5"/>
  <c r="LB18" i="5"/>
  <c r="KY18" i="5"/>
  <c r="KX18" i="5"/>
  <c r="KT18" i="5"/>
  <c r="KS18" i="5"/>
  <c r="KP18" i="5"/>
  <c r="JM18" i="5"/>
  <c r="JN18" i="5" s="1"/>
  <c r="JH18" i="5"/>
  <c r="JG18" i="5"/>
  <c r="JF18" i="5"/>
  <c r="JD18" i="5"/>
  <c r="JC18" i="5"/>
  <c r="JB18" i="5"/>
  <c r="IP18" i="5"/>
  <c r="IL18" i="5"/>
  <c r="IJ18" i="5"/>
  <c r="IG18" i="5"/>
  <c r="IF18" i="5"/>
  <c r="HT18" i="5"/>
  <c r="HP18" i="5"/>
  <c r="HA18" i="5"/>
  <c r="HB18" i="5" s="1"/>
  <c r="GV18" i="5"/>
  <c r="GU18" i="5"/>
  <c r="GR18" i="5"/>
  <c r="GQ18" i="5"/>
  <c r="FX18" i="5"/>
  <c r="FW18" i="5"/>
  <c r="FV18" i="5"/>
  <c r="FU18" i="5"/>
  <c r="FT18" i="5"/>
  <c r="FS18" i="5"/>
  <c r="FR18" i="5"/>
  <c r="EG18" i="5"/>
  <c r="EH18" i="5" s="1"/>
  <c r="DB18" i="5"/>
  <c r="DA18" i="5"/>
  <c r="CX18" i="5"/>
  <c r="BU18" i="5"/>
  <c r="BV18" i="5" s="1"/>
  <c r="BH18" i="5"/>
  <c r="BF18" i="5"/>
  <c r="BD18" i="5"/>
  <c r="BB18" i="5"/>
  <c r="AX18" i="5"/>
  <c r="AW18" i="5"/>
  <c r="AT18" i="5"/>
  <c r="AO18" i="5"/>
  <c r="AP18" i="5" s="1"/>
  <c r="AB18" i="5"/>
  <c r="AA18" i="5"/>
  <c r="Z18" i="5"/>
  <c r="Y18" i="5"/>
  <c r="X18" i="5"/>
  <c r="W18" i="5"/>
  <c r="V18" i="5"/>
  <c r="LC17" i="5"/>
  <c r="LB17" i="5"/>
  <c r="KY17" i="5"/>
  <c r="KX17" i="5"/>
  <c r="KT17" i="5"/>
  <c r="KP17" i="5"/>
  <c r="JH17" i="5"/>
  <c r="JG17" i="5"/>
  <c r="JF17" i="5"/>
  <c r="JD17" i="5"/>
  <c r="JC17" i="5"/>
  <c r="JB17" i="5"/>
  <c r="IP17" i="5"/>
  <c r="IL17" i="5"/>
  <c r="IJ17" i="5"/>
  <c r="IG17" i="5"/>
  <c r="IF17" i="5"/>
  <c r="HT17" i="5"/>
  <c r="HP17" i="5"/>
  <c r="GV17" i="5"/>
  <c r="GU17" i="5"/>
  <c r="GR17" i="5"/>
  <c r="GQ17" i="5"/>
  <c r="FX17" i="5"/>
  <c r="FW17" i="5"/>
  <c r="FV17" i="5"/>
  <c r="FU17" i="5"/>
  <c r="FT17" i="5"/>
  <c r="FS17" i="5"/>
  <c r="FR17" i="5"/>
  <c r="DQ17" i="5"/>
  <c r="DR17" i="5" s="1"/>
  <c r="DI17" i="5"/>
  <c r="DJ17" i="5" s="1"/>
  <c r="DB17" i="5"/>
  <c r="CX17" i="5"/>
  <c r="CK17" i="5"/>
  <c r="CL17" i="5" s="1"/>
  <c r="CC17" i="5"/>
  <c r="CD17" i="5" s="1"/>
  <c r="BH17" i="5"/>
  <c r="BF17" i="5"/>
  <c r="BE17" i="5"/>
  <c r="BD17" i="5"/>
  <c r="BB17" i="5"/>
  <c r="AX17" i="5"/>
  <c r="AW17" i="5"/>
  <c r="AT17" i="5"/>
  <c r="AB17" i="5"/>
  <c r="AA17" i="5"/>
  <c r="Z17" i="5"/>
  <c r="X17" i="5"/>
  <c r="W17" i="5"/>
  <c r="V17" i="5"/>
  <c r="LC16" i="5"/>
  <c r="LB16" i="5"/>
  <c r="KY16" i="5"/>
  <c r="KX16" i="5"/>
  <c r="KT16" i="5"/>
  <c r="KS16" i="5"/>
  <c r="KP16" i="5"/>
  <c r="JM16" i="5"/>
  <c r="JN16" i="5" s="1"/>
  <c r="JH16" i="5"/>
  <c r="JG16" i="5"/>
  <c r="JF16" i="5"/>
  <c r="JD16" i="5"/>
  <c r="JC16" i="5"/>
  <c r="JB16" i="5"/>
  <c r="IP16" i="5"/>
  <c r="IL16" i="5"/>
  <c r="IJ16" i="5"/>
  <c r="IG16" i="5"/>
  <c r="IF16" i="5"/>
  <c r="HT16" i="5"/>
  <c r="HP16" i="5"/>
  <c r="HA16" i="5"/>
  <c r="HB16" i="5" s="1"/>
  <c r="GV16" i="5"/>
  <c r="GU16" i="5"/>
  <c r="GR16" i="5"/>
  <c r="GQ16" i="5"/>
  <c r="FX16" i="5"/>
  <c r="FW16" i="5"/>
  <c r="FV16" i="5"/>
  <c r="FU16" i="5"/>
  <c r="FT16" i="5"/>
  <c r="FS16" i="5"/>
  <c r="FR16" i="5"/>
  <c r="DB16" i="5"/>
  <c r="CX16" i="5"/>
  <c r="BH16" i="5"/>
  <c r="BF16" i="5"/>
  <c r="BD16" i="5"/>
  <c r="BB16" i="5"/>
  <c r="AX16" i="5"/>
  <c r="AW16" i="5"/>
  <c r="AT16" i="5"/>
  <c r="AB16" i="5"/>
  <c r="AA16" i="5"/>
  <c r="Z16" i="5"/>
  <c r="X16" i="5"/>
  <c r="W16" i="5"/>
  <c r="V16" i="5"/>
  <c r="LC15" i="5"/>
  <c r="LB15" i="5"/>
  <c r="LA15" i="5"/>
  <c r="KY15" i="5"/>
  <c r="KX15" i="5"/>
  <c r="KT15" i="5"/>
  <c r="KS15" i="5"/>
  <c r="KP15" i="5"/>
  <c r="KC15" i="5"/>
  <c r="KD15" i="5" s="1"/>
  <c r="JM15" i="5"/>
  <c r="JN15" i="5" s="1"/>
  <c r="JH15" i="5"/>
  <c r="JG15" i="5"/>
  <c r="JF15" i="5"/>
  <c r="JD15" i="5"/>
  <c r="JC15" i="5"/>
  <c r="JB15" i="5"/>
  <c r="IW15" i="5"/>
  <c r="IX15" i="5" s="1"/>
  <c r="IP15" i="5"/>
  <c r="IO15" i="5"/>
  <c r="IL15" i="5"/>
  <c r="IJ15" i="5"/>
  <c r="IG15" i="5"/>
  <c r="IF15" i="5"/>
  <c r="HT15" i="5"/>
  <c r="HP15" i="5"/>
  <c r="HI15" i="5"/>
  <c r="HJ15" i="5" s="1"/>
  <c r="HA15" i="5"/>
  <c r="HB15" i="5" s="1"/>
  <c r="GV15" i="5"/>
  <c r="GU15" i="5"/>
  <c r="GR15" i="5"/>
  <c r="GQ15" i="5"/>
  <c r="GK15" i="5"/>
  <c r="GL15" i="5" s="1"/>
  <c r="GC15" i="5"/>
  <c r="GE15" i="5" s="1"/>
  <c r="FX15" i="5"/>
  <c r="FW15" i="5"/>
  <c r="FV15" i="5"/>
  <c r="FU15" i="5"/>
  <c r="FT15" i="5"/>
  <c r="FS15" i="5"/>
  <c r="FR15" i="5"/>
  <c r="FM15" i="5"/>
  <c r="FE15" i="5"/>
  <c r="DY15" i="5"/>
  <c r="DZ15" i="5" s="1"/>
  <c r="DQ15" i="5"/>
  <c r="DR15" i="5" s="1"/>
  <c r="DB15" i="5"/>
  <c r="CX15" i="5"/>
  <c r="BH15" i="5"/>
  <c r="BF15" i="5"/>
  <c r="BD15" i="5"/>
  <c r="BB15" i="5"/>
  <c r="AX15" i="5"/>
  <c r="AW15" i="5"/>
  <c r="AT15" i="5"/>
  <c r="AB15" i="5"/>
  <c r="AA15" i="5"/>
  <c r="Z15" i="5"/>
  <c r="X15" i="5"/>
  <c r="W15" i="5"/>
  <c r="V15" i="5"/>
  <c r="LC14" i="5"/>
  <c r="KY14" i="5"/>
  <c r="KT14" i="5"/>
  <c r="KS14" i="5"/>
  <c r="KP14" i="5"/>
  <c r="KC14" i="5"/>
  <c r="KD14" i="5" s="1"/>
  <c r="JM14" i="5"/>
  <c r="JN14" i="5" s="1"/>
  <c r="JH14" i="5"/>
  <c r="JG14" i="5"/>
  <c r="JF14" i="5"/>
  <c r="JE14" i="5"/>
  <c r="JD14" i="5"/>
  <c r="JC14" i="5"/>
  <c r="JB14" i="5"/>
  <c r="IW14" i="5"/>
  <c r="IX14" i="5" s="1"/>
  <c r="IP14" i="5"/>
  <c r="IL14" i="5"/>
  <c r="IJ14" i="5"/>
  <c r="IG14" i="5"/>
  <c r="IF14" i="5"/>
  <c r="HY14" i="5"/>
  <c r="HZ14" i="5" s="1"/>
  <c r="HT14" i="5"/>
  <c r="HP14" i="5"/>
  <c r="HA14" i="5"/>
  <c r="HB14" i="5" s="1"/>
  <c r="GV14" i="5"/>
  <c r="GU14" i="5"/>
  <c r="GS14" i="5"/>
  <c r="GR14" i="5"/>
  <c r="GQ14" i="5"/>
  <c r="GK14" i="5"/>
  <c r="GL14" i="5" s="1"/>
  <c r="FX14" i="5"/>
  <c r="FW14" i="5"/>
  <c r="FV14" i="5"/>
  <c r="FU14" i="5"/>
  <c r="FT14" i="5"/>
  <c r="FS14" i="5"/>
  <c r="FR14" i="5"/>
  <c r="FM14" i="5"/>
  <c r="FE14" i="5"/>
  <c r="EO14" i="5"/>
  <c r="ER14" i="5" s="1"/>
  <c r="EG14" i="5"/>
  <c r="EH14" i="5" s="1"/>
  <c r="DY14" i="5"/>
  <c r="DZ14" i="5" s="1"/>
  <c r="DI14" i="5"/>
  <c r="DJ14" i="5" s="1"/>
  <c r="DB14" i="5"/>
  <c r="DA14" i="5"/>
  <c r="CX14" i="5"/>
  <c r="CS14" i="5"/>
  <c r="CT14" i="5" s="1"/>
  <c r="CC14" i="5"/>
  <c r="CD14" i="5" s="1"/>
  <c r="BU14" i="5"/>
  <c r="BV14" i="5" s="1"/>
  <c r="BM14" i="5"/>
  <c r="BN14" i="5" s="1"/>
  <c r="BH14" i="5"/>
  <c r="BF14" i="5"/>
  <c r="BD14" i="5"/>
  <c r="BB14" i="5"/>
  <c r="AX14" i="5"/>
  <c r="AW14" i="5"/>
  <c r="AT14" i="5"/>
  <c r="AO14" i="5"/>
  <c r="AP14" i="5" s="1"/>
  <c r="AB14" i="5"/>
  <c r="AA14" i="5"/>
  <c r="Z14" i="5"/>
  <c r="X14" i="5"/>
  <c r="W14" i="5"/>
  <c r="V14" i="5"/>
  <c r="LC13" i="5"/>
  <c r="LB13" i="5"/>
  <c r="LA13" i="5"/>
  <c r="KY13" i="5"/>
  <c r="KX13" i="5"/>
  <c r="KT13" i="5"/>
  <c r="KS13" i="5"/>
  <c r="KP13" i="5"/>
  <c r="KC13" i="5"/>
  <c r="KD13" i="5" s="1"/>
  <c r="JM13" i="5"/>
  <c r="JN13" i="5" s="1"/>
  <c r="JH13" i="5"/>
  <c r="JG13" i="5"/>
  <c r="JF13" i="5"/>
  <c r="JD13" i="5"/>
  <c r="JC13" i="5"/>
  <c r="JB13" i="5"/>
  <c r="IP13" i="5"/>
  <c r="IL13" i="5"/>
  <c r="IJ13" i="5"/>
  <c r="IG13" i="5"/>
  <c r="IF13" i="5"/>
  <c r="HT13" i="5"/>
  <c r="HP13" i="5"/>
  <c r="HA13" i="5"/>
  <c r="GV13" i="5"/>
  <c r="GU13" i="5"/>
  <c r="GR13" i="5"/>
  <c r="GQ13" i="5"/>
  <c r="GC13" i="5"/>
  <c r="GE13" i="5" s="1"/>
  <c r="FX13" i="5"/>
  <c r="FW13" i="5"/>
  <c r="FV13" i="5"/>
  <c r="FU13" i="5"/>
  <c r="FT13" i="5"/>
  <c r="FS13" i="5"/>
  <c r="FR13" i="5"/>
  <c r="EO13" i="5"/>
  <c r="ER13" i="5" s="1"/>
  <c r="DQ13" i="5"/>
  <c r="DR13" i="5" s="1"/>
  <c r="DB13" i="5"/>
  <c r="CX13" i="5"/>
  <c r="CC13" i="5"/>
  <c r="CD13" i="5" s="1"/>
  <c r="BH13" i="5"/>
  <c r="BF13" i="5"/>
  <c r="BD13" i="5"/>
  <c r="BB13" i="5"/>
  <c r="AX13" i="5"/>
  <c r="AT13" i="5"/>
  <c r="AB13" i="5"/>
  <c r="AA13" i="5"/>
  <c r="Z13" i="5"/>
  <c r="X13" i="5"/>
  <c r="W13" i="5"/>
  <c r="V13" i="5"/>
  <c r="LC12" i="5"/>
  <c r="LB12" i="5"/>
  <c r="KY12" i="5"/>
  <c r="KX12" i="5"/>
  <c r="KT12" i="5"/>
  <c r="KP12" i="5"/>
  <c r="JM12" i="5"/>
  <c r="JN12" i="5" s="1"/>
  <c r="JH12" i="5"/>
  <c r="JG12" i="5"/>
  <c r="JF12" i="5"/>
  <c r="JD12" i="5"/>
  <c r="JC12" i="5"/>
  <c r="JB12" i="5"/>
  <c r="IP12" i="5"/>
  <c r="IO12" i="5"/>
  <c r="IL12" i="5"/>
  <c r="IJ12" i="5"/>
  <c r="IF12" i="5"/>
  <c r="HT12" i="5"/>
  <c r="HP12" i="5"/>
  <c r="GV12" i="5"/>
  <c r="GU12" i="5"/>
  <c r="GR12" i="5"/>
  <c r="GQ12" i="5"/>
  <c r="FX12" i="5"/>
  <c r="FW12" i="5"/>
  <c r="FV12" i="5"/>
  <c r="FT12" i="5"/>
  <c r="FS12" i="5"/>
  <c r="FR12" i="5"/>
  <c r="DY12" i="5"/>
  <c r="DZ12" i="5" s="1"/>
  <c r="DB12" i="5"/>
  <c r="CX12" i="5"/>
  <c r="CC12" i="5"/>
  <c r="CD12" i="5" s="1"/>
  <c r="BM12" i="5"/>
  <c r="BN12" i="5" s="1"/>
  <c r="BH12" i="5"/>
  <c r="BF12" i="5"/>
  <c r="BD12" i="5"/>
  <c r="BB12" i="5"/>
  <c r="AX12" i="5"/>
  <c r="AT12" i="5"/>
  <c r="AB12" i="5"/>
  <c r="AA12" i="5"/>
  <c r="Z12" i="5"/>
  <c r="X12" i="5"/>
  <c r="W12" i="5"/>
  <c r="V12" i="5"/>
  <c r="LC11" i="5"/>
  <c r="LB11" i="5"/>
  <c r="LA11" i="5"/>
  <c r="KY11" i="5"/>
  <c r="KX11" i="5"/>
  <c r="KT11" i="5"/>
  <c r="KP11" i="5"/>
  <c r="JH11" i="5"/>
  <c r="JG11" i="5"/>
  <c r="JF11" i="5"/>
  <c r="JD11" i="5"/>
  <c r="JC11" i="5"/>
  <c r="JB11" i="5"/>
  <c r="IW11" i="5"/>
  <c r="IX11" i="5" s="1"/>
  <c r="IP11" i="5"/>
  <c r="IL11" i="5"/>
  <c r="IJ11" i="5"/>
  <c r="IF11" i="5"/>
  <c r="HT11" i="5"/>
  <c r="HP11" i="5"/>
  <c r="GV11" i="5"/>
  <c r="GU11" i="5"/>
  <c r="GR11" i="5"/>
  <c r="GQ11" i="5"/>
  <c r="GC11" i="5"/>
  <c r="GE11" i="5" s="1"/>
  <c r="FX11" i="5"/>
  <c r="FW11" i="5"/>
  <c r="FV11" i="5"/>
  <c r="FT11" i="5"/>
  <c r="FS11" i="5"/>
  <c r="FR11" i="5"/>
  <c r="EO11" i="5"/>
  <c r="ER11" i="5" s="1"/>
  <c r="DQ11" i="5"/>
  <c r="DR11" i="5" s="1"/>
  <c r="DB11" i="5"/>
  <c r="CX11" i="5"/>
  <c r="CK11" i="5"/>
  <c r="CL11" i="5" s="1"/>
  <c r="BM11" i="5"/>
  <c r="BN11" i="5" s="1"/>
  <c r="BH11" i="5"/>
  <c r="BF11" i="5"/>
  <c r="BE11" i="5"/>
  <c r="BD11" i="5"/>
  <c r="BB11" i="5"/>
  <c r="AX11" i="5"/>
  <c r="AT11" i="5"/>
  <c r="AB11" i="5"/>
  <c r="AA11" i="5"/>
  <c r="Z11" i="5"/>
  <c r="Y11" i="5"/>
  <c r="X11" i="5"/>
  <c r="W11" i="5"/>
  <c r="V11" i="5"/>
  <c r="LC10" i="5"/>
  <c r="LB10" i="5"/>
  <c r="KY10" i="5"/>
  <c r="KX10" i="5"/>
  <c r="KT10" i="5"/>
  <c r="KP10" i="5"/>
  <c r="KL10" i="5"/>
  <c r="KH10" i="5"/>
  <c r="JH10" i="5"/>
  <c r="JG10" i="5"/>
  <c r="JF10" i="5"/>
  <c r="JD10" i="5"/>
  <c r="JC10" i="5"/>
  <c r="JB10" i="5"/>
  <c r="IP10" i="5"/>
  <c r="IL10" i="5"/>
  <c r="IJ10" i="5"/>
  <c r="IF10" i="5"/>
  <c r="HT10" i="5"/>
  <c r="HP10" i="5"/>
  <c r="GV10" i="5"/>
  <c r="GU10" i="5"/>
  <c r="GR10" i="5"/>
  <c r="GQ10" i="5"/>
  <c r="FX10" i="5"/>
  <c r="FW10" i="5"/>
  <c r="FV10" i="5"/>
  <c r="FT10" i="5"/>
  <c r="FS10" i="5"/>
  <c r="FR10" i="5"/>
  <c r="DB10" i="5"/>
  <c r="CX10" i="5"/>
  <c r="BH10" i="5"/>
  <c r="BF10" i="5"/>
  <c r="BD10" i="5"/>
  <c r="BB10" i="5"/>
  <c r="AX10" i="5"/>
  <c r="AT10" i="5"/>
  <c r="AO10" i="5"/>
  <c r="AP10" i="5" s="1"/>
  <c r="AB10" i="5"/>
  <c r="AA10" i="5"/>
  <c r="Z10" i="5"/>
  <c r="X10" i="5"/>
  <c r="W10" i="5"/>
  <c r="V10" i="5"/>
  <c r="E206" i="4"/>
  <c r="VW30" i="21" s="1"/>
  <c r="E192" i="4"/>
  <c r="VW29" i="21" s="1"/>
  <c r="E168" i="4"/>
  <c r="VW28" i="21" s="1"/>
  <c r="E154" i="4"/>
  <c r="VW27" i="21" s="1"/>
  <c r="E9" i="4"/>
  <c r="VU16" i="21" s="1"/>
  <c r="E133" i="4"/>
  <c r="VW26" i="21" s="1"/>
  <c r="E123" i="4"/>
  <c r="VW25" i="21" s="1"/>
  <c r="E108" i="4"/>
  <c r="VW24" i="21" s="1"/>
  <c r="E101" i="4"/>
  <c r="VW23" i="21" s="1"/>
  <c r="E8" i="4"/>
  <c r="VU15" i="21" s="1"/>
  <c r="E84" i="4"/>
  <c r="VW22" i="21" s="1"/>
  <c r="E69" i="4"/>
  <c r="VW21" i="21" s="1"/>
  <c r="E56" i="4"/>
  <c r="VW20" i="21" s="1"/>
  <c r="E7" i="4"/>
  <c r="VU14" i="21" s="1"/>
  <c r="E40" i="4"/>
  <c r="VW19" i="21" s="1"/>
  <c r="E26" i="4"/>
  <c r="VW18" i="21" s="1"/>
  <c r="E10" i="4"/>
  <c r="VW17" i="21" s="1"/>
  <c r="E6" i="4"/>
  <c r="G34" i="3"/>
  <c r="F33" i="3"/>
  <c r="O21" i="16" l="1"/>
  <c r="KK13" i="5"/>
  <c r="O14" i="16"/>
  <c r="EO12" i="5"/>
  <c r="ER12" i="5" s="1"/>
  <c r="O13" i="16"/>
  <c r="DA27" i="5"/>
  <c r="O28" i="16"/>
  <c r="F533" i="11"/>
  <c r="O23" i="16"/>
  <c r="BM31" i="5"/>
  <c r="BN31" i="5" s="1"/>
  <c r="O32" i="16"/>
  <c r="HQ14" i="5"/>
  <c r="HQ15" i="5"/>
  <c r="HR15" i="5" s="1"/>
  <c r="R15" i="5" s="1"/>
  <c r="G15" i="5" s="1"/>
  <c r="D332" i="11"/>
  <c r="D273" i="11" s="1"/>
  <c r="D272" i="11"/>
  <c r="BE20" i="20"/>
  <c r="H33" i="3"/>
  <c r="H34" i="3" s="1"/>
  <c r="HQ21" i="5"/>
  <c r="HR21" i="5" s="1"/>
  <c r="R21" i="5" s="1"/>
  <c r="G21" i="5" s="1"/>
  <c r="O22" i="16"/>
  <c r="BQ11" i="5"/>
  <c r="BR11" i="5" s="1"/>
  <c r="N12" i="16"/>
  <c r="BQ12" i="5"/>
  <c r="BR12" i="5" s="1"/>
  <c r="N13" i="16"/>
  <c r="BQ14" i="5"/>
  <c r="BR14" i="5" s="1"/>
  <c r="N15" i="16"/>
  <c r="HQ23" i="5"/>
  <c r="O24" i="16"/>
  <c r="HQ24" i="5"/>
  <c r="HR24" i="5" s="1"/>
  <c r="O25" i="16"/>
  <c r="BQ31" i="5"/>
  <c r="BR31" i="5" s="1"/>
  <c r="N32" i="16"/>
  <c r="BQ13" i="5"/>
  <c r="BR13" i="5" s="1"/>
  <c r="N14" i="16"/>
  <c r="BQ15" i="5"/>
  <c r="BR15" i="5" s="1"/>
  <c r="N16" i="16"/>
  <c r="BQ16" i="5"/>
  <c r="BR16" i="5" s="1"/>
  <c r="N17" i="16"/>
  <c r="BQ18" i="5"/>
  <c r="BR18" i="5" s="1"/>
  <c r="N19" i="16"/>
  <c r="HQ25" i="5"/>
  <c r="O26" i="16"/>
  <c r="HQ17" i="5"/>
  <c r="O18" i="16"/>
  <c r="BQ17" i="5"/>
  <c r="BR17" i="5" s="1"/>
  <c r="N18" i="16"/>
  <c r="BQ19" i="5"/>
  <c r="BR19" i="5" s="1"/>
  <c r="N20" i="16"/>
  <c r="BQ20" i="5"/>
  <c r="BR20" i="5" s="1"/>
  <c r="N21" i="16"/>
  <c r="BQ22" i="5"/>
  <c r="BR22" i="5" s="1"/>
  <c r="N23" i="16"/>
  <c r="HQ18" i="5"/>
  <c r="Q18" i="5" s="1"/>
  <c r="O19" i="16"/>
  <c r="BQ21" i="5"/>
  <c r="BR21" i="5" s="1"/>
  <c r="N22" i="16"/>
  <c r="BQ23" i="5"/>
  <c r="BR23" i="5" s="1"/>
  <c r="N24" i="16"/>
  <c r="BQ24" i="5"/>
  <c r="BR24" i="5" s="1"/>
  <c r="N25" i="16"/>
  <c r="HQ19" i="5"/>
  <c r="Q19" i="5" s="1"/>
  <c r="O20" i="16"/>
  <c r="BQ25" i="5"/>
  <c r="BR25" i="5" s="1"/>
  <c r="N26" i="16"/>
  <c r="BQ27" i="5"/>
  <c r="BR27" i="5" s="1"/>
  <c r="N28" i="16"/>
  <c r="BQ10" i="5"/>
  <c r="BR10" i="5" s="1"/>
  <c r="N11" i="16"/>
  <c r="BQ26" i="5"/>
  <c r="BR26" i="5" s="1"/>
  <c r="N27" i="16"/>
  <c r="BQ30" i="5"/>
  <c r="BR30" i="5" s="1"/>
  <c r="N31" i="16"/>
  <c r="T20" i="5"/>
  <c r="I20" i="5" s="1"/>
  <c r="F373" i="11"/>
  <c r="F374" i="11" s="1"/>
  <c r="C24" i="19"/>
  <c r="VE29" i="21" s="1"/>
  <c r="AT27" i="17" s="1"/>
  <c r="BB18" i="19"/>
  <c r="BB12" i="19"/>
  <c r="C25" i="19"/>
  <c r="VE30" i="21" s="1"/>
  <c r="AT28" i="17" s="1"/>
  <c r="C23" i="19"/>
  <c r="VE28" i="21" s="1"/>
  <c r="AT26" i="17" s="1"/>
  <c r="C22" i="19"/>
  <c r="VE27" i="21" s="1"/>
  <c r="AT25" i="17" s="1"/>
  <c r="C21" i="19"/>
  <c r="VE26" i="21" s="1"/>
  <c r="AT23" i="17" s="1"/>
  <c r="C20" i="19"/>
  <c r="VE25" i="21" s="1"/>
  <c r="AT22" i="17" s="1"/>
  <c r="BB19" i="19"/>
  <c r="BB16" i="19"/>
  <c r="C15" i="19"/>
  <c r="VE20" i="21" s="1"/>
  <c r="AT16" i="17" s="1"/>
  <c r="C14" i="19"/>
  <c r="VE19" i="21" s="1"/>
  <c r="AT14" i="17" s="1"/>
  <c r="BB13" i="19"/>
  <c r="Y14" i="5"/>
  <c r="Q14" i="5" s="1"/>
  <c r="Y16" i="5"/>
  <c r="Q16" i="5" s="1"/>
  <c r="BG33" i="20"/>
  <c r="BG43" i="20" s="1"/>
  <c r="BG45" i="20" s="1"/>
  <c r="AA33" i="20"/>
  <c r="AA43" i="20" s="1"/>
  <c r="AA45" i="20" s="1"/>
  <c r="U25" i="5"/>
  <c r="BI33" i="20"/>
  <c r="BI43" i="20" s="1"/>
  <c r="BI45" i="20" s="1"/>
  <c r="E36" i="20"/>
  <c r="W36" i="20"/>
  <c r="AO36" i="20"/>
  <c r="I68" i="9"/>
  <c r="G40" i="9"/>
  <c r="G38" i="9" s="1"/>
  <c r="I38" i="9" s="1"/>
  <c r="E38" i="9"/>
  <c r="G9" i="7"/>
  <c r="D100" i="11"/>
  <c r="G415" i="11"/>
  <c r="I415" i="11" s="1"/>
  <c r="H460" i="11"/>
  <c r="H492" i="11"/>
  <c r="D22" i="11"/>
  <c r="J303" i="11"/>
  <c r="J315" i="11"/>
  <c r="C27" i="8"/>
  <c r="F27" i="8" s="1"/>
  <c r="H36" i="11"/>
  <c r="H45" i="11"/>
  <c r="D102" i="11"/>
  <c r="I10" i="6"/>
  <c r="G10" i="6" s="1"/>
  <c r="J203" i="11"/>
  <c r="D499" i="11"/>
  <c r="D403" i="11"/>
  <c r="C8" i="6" s="1"/>
  <c r="F8" i="6" s="1"/>
  <c r="D468" i="11"/>
  <c r="G507" i="11"/>
  <c r="I507" i="11" s="1"/>
  <c r="C28" i="8"/>
  <c r="F28" i="8" s="1"/>
  <c r="D8" i="11"/>
  <c r="E268" i="11"/>
  <c r="H268" i="11" s="1"/>
  <c r="H469" i="11"/>
  <c r="U21" i="20"/>
  <c r="U22" i="20"/>
  <c r="Q22" i="19"/>
  <c r="T21" i="5"/>
  <c r="I21" i="5" s="1"/>
  <c r="Q23" i="19"/>
  <c r="Q24" i="19"/>
  <c r="AE41" i="20"/>
  <c r="Q25" i="19"/>
  <c r="Q11" i="19"/>
  <c r="Q21" i="19"/>
  <c r="Q20" i="19"/>
  <c r="Q26" i="5"/>
  <c r="KN35" i="5"/>
  <c r="IZ35" i="5"/>
  <c r="JX35" i="5"/>
  <c r="T13" i="5"/>
  <c r="I13" i="5" s="1"/>
  <c r="T26" i="5"/>
  <c r="I26" i="5" s="1"/>
  <c r="T14" i="5"/>
  <c r="I14" i="5" s="1"/>
  <c r="T17" i="5"/>
  <c r="I17" i="5" s="1"/>
  <c r="T18" i="5"/>
  <c r="I18" i="5" s="1"/>
  <c r="T24" i="5"/>
  <c r="I24" i="5" s="1"/>
  <c r="Y17" i="5"/>
  <c r="E18" i="16"/>
  <c r="T25" i="5"/>
  <c r="I25" i="5" s="1"/>
  <c r="Y21" i="5"/>
  <c r="E22" i="16"/>
  <c r="T16" i="5"/>
  <c r="I16" i="5" s="1"/>
  <c r="Y24" i="5"/>
  <c r="E25" i="16"/>
  <c r="Y25" i="5"/>
  <c r="E26" i="16"/>
  <c r="T11" i="5"/>
  <c r="I11" i="5" s="1"/>
  <c r="T10" i="5"/>
  <c r="I10" i="5" s="1"/>
  <c r="T15" i="5"/>
  <c r="I15" i="5" s="1"/>
  <c r="T23" i="5"/>
  <c r="I23" i="5" s="1"/>
  <c r="H11" i="6"/>
  <c r="Y27" i="5"/>
  <c r="E28" i="16"/>
  <c r="T19" i="5"/>
  <c r="I19" i="5" s="1"/>
  <c r="Q22" i="5"/>
  <c r="T27" i="5"/>
  <c r="I27" i="5" s="1"/>
  <c r="Y10" i="5"/>
  <c r="Q10" i="5" s="1"/>
  <c r="E11" i="16"/>
  <c r="BC36" i="17"/>
  <c r="T12" i="5"/>
  <c r="I12" i="5" s="1"/>
  <c r="Q20" i="5"/>
  <c r="Y12" i="5"/>
  <c r="Q12" i="5" s="1"/>
  <c r="E13" i="16"/>
  <c r="Y31" i="5"/>
  <c r="Z31" i="5" s="1"/>
  <c r="E32" i="16"/>
  <c r="Q11" i="5"/>
  <c r="T22" i="5"/>
  <c r="I22" i="5" s="1"/>
  <c r="Z30" i="5"/>
  <c r="Y13" i="5"/>
  <c r="Q13" i="5" s="1"/>
  <c r="E14" i="16"/>
  <c r="Y15" i="5"/>
  <c r="E16" i="16"/>
  <c r="P19" i="5"/>
  <c r="E19" i="5" s="1"/>
  <c r="P14" i="5"/>
  <c r="E14" i="5" s="1"/>
  <c r="P22" i="5"/>
  <c r="E22" i="5" s="1"/>
  <c r="U21" i="5"/>
  <c r="D22" i="16"/>
  <c r="U22" i="5"/>
  <c r="D23" i="16"/>
  <c r="U12" i="5"/>
  <c r="D13" i="16"/>
  <c r="P12" i="5"/>
  <c r="E12" i="5" s="1"/>
  <c r="P17" i="5"/>
  <c r="E17" i="5" s="1"/>
  <c r="P18" i="5"/>
  <c r="E18" i="5" s="1"/>
  <c r="U11" i="5"/>
  <c r="D12" i="16"/>
  <c r="P11" i="5"/>
  <c r="E11" i="5" s="1"/>
  <c r="P16" i="5"/>
  <c r="E16" i="5" s="1"/>
  <c r="P20" i="5"/>
  <c r="E20" i="5" s="1"/>
  <c r="U27" i="5"/>
  <c r="D28" i="16"/>
  <c r="P24" i="5"/>
  <c r="E24" i="5" s="1"/>
  <c r="P15" i="5"/>
  <c r="E15" i="5" s="1"/>
  <c r="P23" i="5"/>
  <c r="E23" i="5" s="1"/>
  <c r="P25" i="5"/>
  <c r="E25" i="5" s="1"/>
  <c r="U10" i="5"/>
  <c r="D11" i="16"/>
  <c r="U31" i="5"/>
  <c r="D32" i="16"/>
  <c r="P13" i="5"/>
  <c r="E13" i="5" s="1"/>
  <c r="U13" i="5"/>
  <c r="D14" i="16"/>
  <c r="U14" i="5"/>
  <c r="D15" i="16"/>
  <c r="U15" i="5"/>
  <c r="M15" i="5" s="1"/>
  <c r="D16" i="16"/>
  <c r="U16" i="5"/>
  <c r="D17" i="16"/>
  <c r="P21" i="5"/>
  <c r="E21" i="5" s="1"/>
  <c r="P26" i="5"/>
  <c r="E26" i="5" s="1"/>
  <c r="P27" i="5"/>
  <c r="E27" i="5" s="1"/>
  <c r="U17" i="5"/>
  <c r="D18" i="16"/>
  <c r="U18" i="5"/>
  <c r="D19" i="16"/>
  <c r="U19" i="5"/>
  <c r="D20" i="16"/>
  <c r="U20" i="5"/>
  <c r="D21" i="16"/>
  <c r="D9" i="11"/>
  <c r="H365" i="11"/>
  <c r="G464" i="11"/>
  <c r="J65" i="11"/>
  <c r="D206" i="11"/>
  <c r="D199" i="11"/>
  <c r="G12" i="11"/>
  <c r="I12" i="11" s="1"/>
  <c r="H107" i="11"/>
  <c r="G142" i="11"/>
  <c r="I142" i="11" s="1"/>
  <c r="D132" i="11"/>
  <c r="G328" i="11"/>
  <c r="I328" i="11" s="1"/>
  <c r="H379" i="11"/>
  <c r="G412" i="11"/>
  <c r="I412" i="11" s="1"/>
  <c r="G504" i="11"/>
  <c r="I504" i="11" s="1"/>
  <c r="E180" i="11"/>
  <c r="H12" i="7" s="1"/>
  <c r="D241" i="11"/>
  <c r="H251" i="11"/>
  <c r="G360" i="11"/>
  <c r="I360" i="11" s="1"/>
  <c r="G459" i="11"/>
  <c r="I459" i="11" s="1"/>
  <c r="F180" i="11"/>
  <c r="G268" i="11"/>
  <c r="I268" i="11" s="1"/>
  <c r="J184" i="11"/>
  <c r="I164" i="11"/>
  <c r="G133" i="11"/>
  <c r="E261" i="11"/>
  <c r="H261" i="11" s="1"/>
  <c r="G269" i="11"/>
  <c r="I269" i="11" s="1"/>
  <c r="DA33" i="16"/>
  <c r="DA41" i="16" s="1"/>
  <c r="CK18" i="16"/>
  <c r="CI18" i="16" s="1"/>
  <c r="DH18" i="16" s="1"/>
  <c r="U15" i="20"/>
  <c r="U28" i="20"/>
  <c r="U11" i="20"/>
  <c r="U13" i="20"/>
  <c r="U9" i="20"/>
  <c r="U23" i="20"/>
  <c r="U16" i="20"/>
  <c r="U29" i="20"/>
  <c r="U14" i="20"/>
  <c r="U24" i="20"/>
  <c r="JD32" i="5"/>
  <c r="AE39" i="17"/>
  <c r="M33" i="17"/>
  <c r="M41" i="17" s="1"/>
  <c r="KT32" i="5"/>
  <c r="FF28" i="5"/>
  <c r="JC32" i="5"/>
  <c r="I9" i="6"/>
  <c r="G9" i="6" s="1"/>
  <c r="EO31" i="5"/>
  <c r="EP31" i="5" s="1"/>
  <c r="I12" i="8"/>
  <c r="G12" i="8" s="1"/>
  <c r="JF32" i="5"/>
  <c r="AO33" i="16"/>
  <c r="AO41" i="16" s="1"/>
  <c r="HR11" i="5"/>
  <c r="Q33" i="16"/>
  <c r="Q41" i="16" s="1"/>
  <c r="Y33" i="16"/>
  <c r="Y41" i="16" s="1"/>
  <c r="AG33" i="16"/>
  <c r="AG41" i="16" s="1"/>
  <c r="FB28" i="5"/>
  <c r="D52" i="9"/>
  <c r="D56" i="9" s="1"/>
  <c r="O36" i="20"/>
  <c r="AI36" i="20"/>
  <c r="AK33" i="20"/>
  <c r="AK43" i="20" s="1"/>
  <c r="BA33" i="20"/>
  <c r="BA43" i="20" s="1"/>
  <c r="BB15" i="19"/>
  <c r="C18" i="19"/>
  <c r="VE23" i="21" s="1"/>
  <c r="C16" i="19"/>
  <c r="VE21" i="21" s="1"/>
  <c r="AT17" i="17" s="1"/>
  <c r="C13" i="19"/>
  <c r="VE18" i="21" s="1"/>
  <c r="AT13" i="17" s="1"/>
  <c r="D65" i="9"/>
  <c r="I33" i="20"/>
  <c r="I43" i="20" s="1"/>
  <c r="I45" i="20" s="1"/>
  <c r="C9" i="19"/>
  <c r="VE14" i="21" s="1"/>
  <c r="VO14" i="21"/>
  <c r="VO21" i="21"/>
  <c r="VM21" i="21" s="1"/>
  <c r="AI17" i="17" s="1"/>
  <c r="VO27" i="21"/>
  <c r="VM27" i="21" s="1"/>
  <c r="AI25" i="17" s="1"/>
  <c r="VO26" i="21"/>
  <c r="VM26" i="21" s="1"/>
  <c r="AI23" i="17" s="1"/>
  <c r="VO16" i="21"/>
  <c r="VM16" i="21" s="1"/>
  <c r="AI24" i="17" s="1"/>
  <c r="VO22" i="21"/>
  <c r="VM22" i="21" s="1"/>
  <c r="AI18" i="17" s="1"/>
  <c r="VO28" i="21"/>
  <c r="VM28" i="21" s="1"/>
  <c r="AI26" i="17" s="1"/>
  <c r="VO15" i="21"/>
  <c r="VM15" i="21" s="1"/>
  <c r="AI19" i="17" s="1"/>
  <c r="AU12" i="17"/>
  <c r="VO23" i="21"/>
  <c r="VM23" i="21" s="1"/>
  <c r="AI20" i="17" s="1"/>
  <c r="VO30" i="21"/>
  <c r="VM30" i="21" s="1"/>
  <c r="AI28" i="17" s="1"/>
  <c r="VO29" i="21"/>
  <c r="VM29" i="21" s="1"/>
  <c r="AI27" i="17" s="1"/>
  <c r="VO18" i="21"/>
  <c r="VM18" i="21" s="1"/>
  <c r="AI13" i="17" s="1"/>
  <c r="VO24" i="21"/>
  <c r="VO20" i="21"/>
  <c r="VM20" i="21" s="1"/>
  <c r="AI16" i="17" s="1"/>
  <c r="VO19" i="21"/>
  <c r="VM19" i="21" s="1"/>
  <c r="AI14" i="17" s="1"/>
  <c r="VO25" i="21"/>
  <c r="VM25" i="21" s="1"/>
  <c r="AI22" i="17" s="1"/>
  <c r="CK16" i="16"/>
  <c r="CI16" i="16" s="1"/>
  <c r="DH16" i="16" s="1"/>
  <c r="CK27" i="16"/>
  <c r="CI27" i="16" s="1"/>
  <c r="DH27" i="16" s="1"/>
  <c r="AU13" i="17"/>
  <c r="AU17" i="17"/>
  <c r="AU21" i="17"/>
  <c r="AU25" i="17"/>
  <c r="AU28" i="17"/>
  <c r="CK14" i="16"/>
  <c r="CI14" i="16" s="1"/>
  <c r="DH14" i="16" s="1"/>
  <c r="CK23" i="16"/>
  <c r="CI23" i="16" s="1"/>
  <c r="DH23" i="16" s="1"/>
  <c r="CK25" i="16"/>
  <c r="CI25" i="16" s="1"/>
  <c r="DH25" i="16" s="1"/>
  <c r="CK12" i="16"/>
  <c r="CI12" i="16" s="1"/>
  <c r="DH12" i="16" s="1"/>
  <c r="CK21" i="16"/>
  <c r="CI21" i="16" s="1"/>
  <c r="DH21" i="16" s="1"/>
  <c r="AU16" i="17"/>
  <c r="AU20" i="17"/>
  <c r="AU27" i="17"/>
  <c r="E5" i="4"/>
  <c r="VU13" i="21"/>
  <c r="CK19" i="16"/>
  <c r="CI19" i="16" s="1"/>
  <c r="DH19" i="16" s="1"/>
  <c r="CK28" i="16"/>
  <c r="CI28" i="16" s="1"/>
  <c r="DH28" i="16" s="1"/>
  <c r="VW31" i="21"/>
  <c r="VO17" i="21"/>
  <c r="VM17" i="21" s="1"/>
  <c r="AI12" i="17" s="1"/>
  <c r="CK17" i="16"/>
  <c r="CI17" i="16" s="1"/>
  <c r="DH17" i="16" s="1"/>
  <c r="AU23" i="17"/>
  <c r="AU26" i="17"/>
  <c r="CK15" i="16"/>
  <c r="CI15" i="16" s="1"/>
  <c r="DH15" i="16" s="1"/>
  <c r="CK22" i="16"/>
  <c r="CI22" i="16" s="1"/>
  <c r="DH22" i="16" s="1"/>
  <c r="CK24" i="16"/>
  <c r="CI24" i="16" s="1"/>
  <c r="DH24" i="16" s="1"/>
  <c r="CK26" i="16"/>
  <c r="CI26" i="16" s="1"/>
  <c r="DH26" i="16" s="1"/>
  <c r="CK13" i="16"/>
  <c r="CI13" i="16" s="1"/>
  <c r="DH13" i="16" s="1"/>
  <c r="CK20" i="16"/>
  <c r="CI20" i="16" s="1"/>
  <c r="DH20" i="16" s="1"/>
  <c r="AU14" i="17"/>
  <c r="AU18" i="17"/>
  <c r="AU22" i="17"/>
  <c r="AZ27" i="19"/>
  <c r="P3" i="5"/>
  <c r="B11" i="20"/>
  <c r="VB16" i="21" s="1"/>
  <c r="B28" i="20"/>
  <c r="S36" i="20"/>
  <c r="AM36" i="20"/>
  <c r="B29" i="20"/>
  <c r="VB34" i="21" s="1"/>
  <c r="AN34" i="21" s="1"/>
  <c r="H291" i="11"/>
  <c r="HB32" i="5"/>
  <c r="I16" i="8"/>
  <c r="G16" i="8" s="1"/>
  <c r="HR14" i="5"/>
  <c r="R14" i="5" s="1"/>
  <c r="G14" i="5" s="1"/>
  <c r="HR27" i="5"/>
  <c r="CW32" i="5"/>
  <c r="AO27" i="5"/>
  <c r="AP27" i="5" s="1"/>
  <c r="HQ32" i="5"/>
  <c r="JB32" i="5"/>
  <c r="I28" i="8"/>
  <c r="G28" i="8" s="1"/>
  <c r="I138" i="11"/>
  <c r="I133" i="11"/>
  <c r="DZ32" i="5"/>
  <c r="FU30" i="5"/>
  <c r="FU32" i="5" s="1"/>
  <c r="I13" i="7"/>
  <c r="G13" i="7" s="1"/>
  <c r="CC30" i="5"/>
  <c r="CD30" i="5" s="1"/>
  <c r="CD32" i="5" s="1"/>
  <c r="GL32" i="5"/>
  <c r="I22" i="6"/>
  <c r="G22" i="6" s="1"/>
  <c r="K40" i="16"/>
  <c r="CM40" i="16"/>
  <c r="CU40" i="16"/>
  <c r="DE40" i="16"/>
  <c r="BN32" i="5"/>
  <c r="I7" i="8"/>
  <c r="G7" i="8" s="1"/>
  <c r="AW30" i="5"/>
  <c r="AW32" i="5" s="1"/>
  <c r="B24" i="20"/>
  <c r="VB29" i="21" s="1"/>
  <c r="H22" i="6"/>
  <c r="B12" i="20"/>
  <c r="VB17" i="21" s="1"/>
  <c r="B16" i="20"/>
  <c r="VB21" i="21" s="1"/>
  <c r="B10" i="20"/>
  <c r="VB15" i="21" s="1"/>
  <c r="B14" i="20"/>
  <c r="VB19" i="21" s="1"/>
  <c r="B19" i="20"/>
  <c r="VB24" i="21" s="1"/>
  <c r="B23" i="20"/>
  <c r="VB28" i="21" s="1"/>
  <c r="M36" i="20"/>
  <c r="AG36" i="20"/>
  <c r="AW36" i="20"/>
  <c r="H7" i="7"/>
  <c r="B8" i="20"/>
  <c r="VB13" i="21" s="1"/>
  <c r="B21" i="20"/>
  <c r="VB26" i="21" s="1"/>
  <c r="B25" i="20"/>
  <c r="VB30" i="21" s="1"/>
  <c r="B15" i="20"/>
  <c r="VB20" i="21" s="1"/>
  <c r="B13" i="20"/>
  <c r="VB18" i="21" s="1"/>
  <c r="B17" i="20"/>
  <c r="VB22" i="21" s="1"/>
  <c r="B22" i="20"/>
  <c r="VB27" i="21" s="1"/>
  <c r="B9" i="20"/>
  <c r="VB14" i="21" s="1"/>
  <c r="B18" i="20"/>
  <c r="VB23" i="21" s="1"/>
  <c r="B20" i="20"/>
  <c r="VB25" i="21" s="1"/>
  <c r="H240" i="11"/>
  <c r="Q36" i="20"/>
  <c r="H46" i="11"/>
  <c r="G46" i="11"/>
  <c r="I46" i="11" s="1"/>
  <c r="F439" i="11"/>
  <c r="H439" i="11" s="1"/>
  <c r="I14" i="7"/>
  <c r="G14" i="7" s="1"/>
  <c r="G45" i="11"/>
  <c r="I45" i="11" s="1"/>
  <c r="A3" i="14"/>
  <c r="A3" i="15" s="1"/>
  <c r="F3" i="16" s="1"/>
  <c r="AL29" i="16"/>
  <c r="DD40" i="16"/>
  <c r="J40" i="16"/>
  <c r="BB9" i="19"/>
  <c r="AI32" i="17"/>
  <c r="AD29" i="16"/>
  <c r="AT18" i="19"/>
  <c r="EK30" i="5"/>
  <c r="EL30" i="5" s="1"/>
  <c r="G342" i="11"/>
  <c r="I342" i="11" s="1"/>
  <c r="AT22" i="19"/>
  <c r="CW10" i="5"/>
  <c r="CY10" i="5" s="1"/>
  <c r="H19" i="8"/>
  <c r="BG20" i="19"/>
  <c r="I25" i="8"/>
  <c r="G25" i="8" s="1"/>
  <c r="T33" i="16"/>
  <c r="T41" i="16" s="1"/>
  <c r="AB33" i="16"/>
  <c r="AB41" i="16" s="1"/>
  <c r="AJ33" i="16"/>
  <c r="AJ41" i="16" s="1"/>
  <c r="AR33" i="16"/>
  <c r="AR41" i="16" s="1"/>
  <c r="AZ33" i="16"/>
  <c r="AZ41" i="16" s="1"/>
  <c r="BH33" i="16"/>
  <c r="BH41" i="16" s="1"/>
  <c r="BR33" i="16"/>
  <c r="BR41" i="16" s="1"/>
  <c r="BZ33" i="16"/>
  <c r="BZ41" i="16" s="1"/>
  <c r="DB33" i="16"/>
  <c r="DB41" i="16" s="1"/>
  <c r="I23" i="6"/>
  <c r="G23" i="6" s="1"/>
  <c r="I24" i="8"/>
  <c r="G24" i="8" s="1"/>
  <c r="JG32" i="5"/>
  <c r="F19" i="9"/>
  <c r="I8" i="7"/>
  <c r="G8" i="7" s="1"/>
  <c r="H133" i="11"/>
  <c r="KU27" i="5"/>
  <c r="EX32" i="5"/>
  <c r="EX35" i="5" s="1"/>
  <c r="LA32" i="5"/>
  <c r="IQ11" i="5"/>
  <c r="G33" i="16"/>
  <c r="G41" i="16" s="1"/>
  <c r="U33" i="16"/>
  <c r="U41" i="16" s="1"/>
  <c r="AC33" i="16"/>
  <c r="AC41" i="16" s="1"/>
  <c r="AK33" i="16"/>
  <c r="AK41" i="16" s="1"/>
  <c r="AS33" i="16"/>
  <c r="AS41" i="16" s="1"/>
  <c r="BA33" i="16"/>
  <c r="BA41" i="16" s="1"/>
  <c r="BI33" i="16"/>
  <c r="BI41" i="16" s="1"/>
  <c r="BS33" i="16"/>
  <c r="BS41" i="16" s="1"/>
  <c r="CA33" i="16"/>
  <c r="CA41" i="16" s="1"/>
  <c r="CK33" i="16"/>
  <c r="CK41" i="16" s="1"/>
  <c r="CS33" i="16"/>
  <c r="CS41" i="16" s="1"/>
  <c r="I27" i="8"/>
  <c r="G27" i="8" s="1"/>
  <c r="IQ15" i="5"/>
  <c r="IQ16" i="5"/>
  <c r="IQ18" i="5"/>
  <c r="EC10" i="5"/>
  <c r="EC28" i="5" s="1"/>
  <c r="GU28" i="5"/>
  <c r="GU35" i="5" s="1"/>
  <c r="KU26" i="5"/>
  <c r="I6" i="8"/>
  <c r="G6" i="8" s="1"/>
  <c r="I31" i="8"/>
  <c r="G31" i="8" s="1"/>
  <c r="I6" i="7"/>
  <c r="G6" i="7" s="1"/>
  <c r="H235" i="11"/>
  <c r="JF28" i="5"/>
  <c r="I19" i="8"/>
  <c r="G19" i="8" s="1"/>
  <c r="IP28" i="5"/>
  <c r="AK10" i="5"/>
  <c r="AK28" i="5" s="1"/>
  <c r="H10" i="8"/>
  <c r="I14" i="8"/>
  <c r="G14" i="8" s="1"/>
  <c r="F33" i="9"/>
  <c r="R40" i="16"/>
  <c r="AH40" i="16"/>
  <c r="AP40" i="16"/>
  <c r="AX40" i="16"/>
  <c r="BX40" i="16"/>
  <c r="CF40" i="16"/>
  <c r="BF28" i="5"/>
  <c r="LB28" i="5"/>
  <c r="KU16" i="5"/>
  <c r="KU25" i="5"/>
  <c r="I22" i="8"/>
  <c r="G22" i="8" s="1"/>
  <c r="I30" i="8"/>
  <c r="G30" i="8" s="1"/>
  <c r="CX27" i="16"/>
  <c r="DC14" i="5"/>
  <c r="KU15" i="5"/>
  <c r="BU28" i="5"/>
  <c r="CC28" i="5"/>
  <c r="DB28" i="5"/>
  <c r="HA28" i="5"/>
  <c r="HY28" i="5"/>
  <c r="JG28" i="5"/>
  <c r="KU14" i="5"/>
  <c r="IO23" i="5"/>
  <c r="IQ23" i="5" s="1"/>
  <c r="CY27" i="5"/>
  <c r="H6" i="8"/>
  <c r="H29" i="8"/>
  <c r="H40" i="11"/>
  <c r="EG28" i="5"/>
  <c r="BA24" i="17"/>
  <c r="GK28" i="5"/>
  <c r="IW28" i="5"/>
  <c r="JH28" i="5"/>
  <c r="KS32" i="5"/>
  <c r="GC28" i="5"/>
  <c r="FU28" i="5"/>
  <c r="HI28" i="5"/>
  <c r="IG28" i="5"/>
  <c r="JM28" i="5"/>
  <c r="KL28" i="5"/>
  <c r="KU12" i="5"/>
  <c r="IQ13" i="5"/>
  <c r="KU24" i="5"/>
  <c r="I20" i="8"/>
  <c r="G20" i="8" s="1"/>
  <c r="H11" i="9"/>
  <c r="S40" i="16"/>
  <c r="AA40" i="16"/>
  <c r="AI40" i="16"/>
  <c r="AQ40" i="16"/>
  <c r="AY40" i="16"/>
  <c r="BG40" i="16"/>
  <c r="BO40" i="16"/>
  <c r="BY40" i="16"/>
  <c r="CG40" i="16"/>
  <c r="CY31" i="16"/>
  <c r="BB13" i="17"/>
  <c r="AM32" i="17"/>
  <c r="DQ28" i="5"/>
  <c r="FV28" i="5"/>
  <c r="H10" i="7"/>
  <c r="CY24" i="16"/>
  <c r="CK28" i="5"/>
  <c r="FE28" i="5"/>
  <c r="FW28" i="5"/>
  <c r="FW35" i="5" s="1"/>
  <c r="JU28" i="5"/>
  <c r="KU18" i="5"/>
  <c r="KU22" i="5"/>
  <c r="U23" i="5"/>
  <c r="KU31" i="5"/>
  <c r="S31" i="5" s="1"/>
  <c r="H31" i="5" s="1"/>
  <c r="E80" i="11"/>
  <c r="G80" i="11" s="1"/>
  <c r="I80" i="11" s="1"/>
  <c r="AX28" i="5"/>
  <c r="FX28" i="5"/>
  <c r="FX35" i="5" s="1"/>
  <c r="KT28" i="5"/>
  <c r="JE32" i="5"/>
  <c r="CB33" i="16"/>
  <c r="CB41" i="16" s="1"/>
  <c r="BA19" i="17"/>
  <c r="FM28" i="5"/>
  <c r="HT28" i="5"/>
  <c r="HT35" i="5" s="1"/>
  <c r="JE28" i="5"/>
  <c r="KC28" i="5"/>
  <c r="HR16" i="5"/>
  <c r="R16" i="5" s="1"/>
  <c r="G16" i="5" s="1"/>
  <c r="IQ17" i="5"/>
  <c r="IQ20" i="5"/>
  <c r="KU23" i="5"/>
  <c r="AO24" i="5"/>
  <c r="AP24" i="5" s="1"/>
  <c r="IQ24" i="5"/>
  <c r="IQ26" i="5"/>
  <c r="I21" i="8"/>
  <c r="G21" i="8" s="1"/>
  <c r="CY17" i="16"/>
  <c r="BA15" i="17"/>
  <c r="AY24" i="17"/>
  <c r="IM15" i="5"/>
  <c r="FY32" i="5"/>
  <c r="H31" i="9"/>
  <c r="BB8" i="19"/>
  <c r="BB10" i="19"/>
  <c r="E259" i="11"/>
  <c r="H259" i="11" s="1"/>
  <c r="H279" i="11"/>
  <c r="C10" i="19"/>
  <c r="VE15" i="21" s="1"/>
  <c r="AT19" i="17" s="1"/>
  <c r="BM19" i="19"/>
  <c r="AN24" i="19"/>
  <c r="BA24" i="19"/>
  <c r="AN25" i="19"/>
  <c r="E265" i="11"/>
  <c r="E260" i="11" s="1"/>
  <c r="AH15" i="19"/>
  <c r="I36" i="20"/>
  <c r="AQ36" i="20"/>
  <c r="I23" i="8"/>
  <c r="G23" i="8" s="1"/>
  <c r="H30" i="8"/>
  <c r="C11" i="19"/>
  <c r="VE16" i="21" s="1"/>
  <c r="AT24" i="17" s="1"/>
  <c r="EC32" i="5"/>
  <c r="FI32" i="5"/>
  <c r="H22" i="8"/>
  <c r="E38" i="11"/>
  <c r="E35" i="11" s="1"/>
  <c r="F319" i="11"/>
  <c r="H319" i="11" s="1"/>
  <c r="I8" i="8"/>
  <c r="G8" i="8" s="1"/>
  <c r="AT29" i="16"/>
  <c r="BB29" i="16"/>
  <c r="BJ29" i="16"/>
  <c r="CB29" i="16"/>
  <c r="E51" i="11"/>
  <c r="H51" i="11" s="1"/>
  <c r="G48" i="11"/>
  <c r="I48" i="11" s="1"/>
  <c r="KQ16" i="5"/>
  <c r="AA28" i="5"/>
  <c r="K41" i="5" s="1"/>
  <c r="G128" i="11"/>
  <c r="I128" i="11" s="1"/>
  <c r="H20" i="8"/>
  <c r="HN25" i="5"/>
  <c r="E454" i="11"/>
  <c r="H10" i="6" s="1"/>
  <c r="H16" i="8"/>
  <c r="GO32" i="5"/>
  <c r="H23" i="8"/>
  <c r="G447" i="11"/>
  <c r="G448" i="11" s="1"/>
  <c r="I448" i="11" s="1"/>
  <c r="H11" i="8"/>
  <c r="U17" i="20"/>
  <c r="J30" i="20"/>
  <c r="J38" i="20" s="1"/>
  <c r="AB30" i="20"/>
  <c r="AB38" i="20" s="1"/>
  <c r="AR30" i="20"/>
  <c r="AR38" i="20" s="1"/>
  <c r="BH30" i="20"/>
  <c r="BH38" i="20" s="1"/>
  <c r="T31" i="18"/>
  <c r="AJ31" i="18"/>
  <c r="U18" i="20"/>
  <c r="U20" i="20"/>
  <c r="BM8" i="19"/>
  <c r="AT14" i="19"/>
  <c r="IM27" i="5"/>
  <c r="F33" i="18"/>
  <c r="F32" i="18" s="1"/>
  <c r="V33" i="18"/>
  <c r="V32" i="18" s="1"/>
  <c r="AL33" i="18"/>
  <c r="AL32" i="18" s="1"/>
  <c r="U12" i="20"/>
  <c r="AA36" i="20"/>
  <c r="BA11" i="19"/>
  <c r="U10" i="20"/>
  <c r="BG19" i="19"/>
  <c r="U19" i="20"/>
  <c r="T30" i="20"/>
  <c r="T38" i="20" s="1"/>
  <c r="FA30" i="5"/>
  <c r="FA32" i="5" s="1"/>
  <c r="GG30" i="5"/>
  <c r="GG32" i="5" s="1"/>
  <c r="HM30" i="5"/>
  <c r="HM32" i="5" s="1"/>
  <c r="IS30" i="5"/>
  <c r="IS32" i="5" s="1"/>
  <c r="A3" i="13"/>
  <c r="AT12" i="19"/>
  <c r="U25" i="20"/>
  <c r="F30" i="20"/>
  <c r="F38" i="20" s="1"/>
  <c r="V30" i="20"/>
  <c r="V38" i="20" s="1"/>
  <c r="AN30" i="20"/>
  <c r="AN38" i="20" s="1"/>
  <c r="BD30" i="20"/>
  <c r="BD38" i="20" s="1"/>
  <c r="X14" i="17"/>
  <c r="W17" i="17"/>
  <c r="KQ27" i="5"/>
  <c r="E74" i="11"/>
  <c r="G74" i="11" s="1"/>
  <c r="I74" i="11" s="1"/>
  <c r="H400" i="11"/>
  <c r="H408" i="11"/>
  <c r="H474" i="11"/>
  <c r="L22" i="17"/>
  <c r="L28" i="17"/>
  <c r="C31" i="18"/>
  <c r="W26" i="19"/>
  <c r="J19" i="19"/>
  <c r="K36" i="20"/>
  <c r="AE36" i="20"/>
  <c r="AU36" i="20"/>
  <c r="W27" i="17"/>
  <c r="IM17" i="5"/>
  <c r="W15" i="17"/>
  <c r="AM19" i="17"/>
  <c r="W21" i="17"/>
  <c r="X24" i="17"/>
  <c r="W25" i="17"/>
  <c r="AM26" i="17"/>
  <c r="V8" i="19"/>
  <c r="AO26" i="19"/>
  <c r="AT15" i="19"/>
  <c r="BM16" i="19"/>
  <c r="V10" i="19"/>
  <c r="BM20" i="19"/>
  <c r="BA25" i="19"/>
  <c r="H397" i="11"/>
  <c r="H450" i="11"/>
  <c r="W12" i="17"/>
  <c r="X15" i="17"/>
  <c r="BD16" i="17"/>
  <c r="W18" i="17"/>
  <c r="AP18" i="17"/>
  <c r="X21" i="17"/>
  <c r="W23" i="17"/>
  <c r="L26" i="17"/>
  <c r="W28" i="17"/>
  <c r="VQ35" i="21"/>
  <c r="VQ43" i="21" s="1"/>
  <c r="VN33" i="21"/>
  <c r="BH26" i="19"/>
  <c r="AI33" i="20"/>
  <c r="AI43" i="20" s="1"/>
  <c r="F104" i="11" s="1"/>
  <c r="F106" i="11" s="1"/>
  <c r="F101" i="11" s="1"/>
  <c r="AY33" i="20"/>
  <c r="AY43" i="20" s="1"/>
  <c r="H30" i="20"/>
  <c r="H38" i="20" s="1"/>
  <c r="AY36" i="20"/>
  <c r="VN13" i="21"/>
  <c r="W13" i="17"/>
  <c r="AP13" i="17"/>
  <c r="X18" i="17"/>
  <c r="AJ33" i="17"/>
  <c r="AJ41" i="17" s="1"/>
  <c r="AP32" i="17"/>
  <c r="AC26" i="19"/>
  <c r="BG36" i="20"/>
  <c r="KX28" i="5"/>
  <c r="GR28" i="5"/>
  <c r="GR35" i="5" s="1"/>
  <c r="JA28" i="5"/>
  <c r="EK31" i="5"/>
  <c r="EL31" i="5" s="1"/>
  <c r="F174" i="11"/>
  <c r="F177" i="11" s="1"/>
  <c r="I21" i="6" s="1"/>
  <c r="G21" i="6" s="1"/>
  <c r="HN26" i="5"/>
  <c r="W16" i="17"/>
  <c r="L24" i="17"/>
  <c r="W26" i="17"/>
  <c r="AM27" i="17"/>
  <c r="AP28" i="17"/>
  <c r="AU26" i="19"/>
  <c r="BM9" i="19"/>
  <c r="W22" i="17"/>
  <c r="HP28" i="5"/>
  <c r="HP35" i="5" s="1"/>
  <c r="U30" i="5"/>
  <c r="BI30" i="5"/>
  <c r="BI32" i="5" s="1"/>
  <c r="JY30" i="5"/>
  <c r="JZ30" i="5" s="1"/>
  <c r="JZ32" i="5" s="1"/>
  <c r="H28" i="9"/>
  <c r="CH11" i="16"/>
  <c r="DG11" i="16" s="1"/>
  <c r="X16" i="17"/>
  <c r="W19" i="17"/>
  <c r="AP25" i="17"/>
  <c r="L32" i="17"/>
  <c r="BN26" i="19"/>
  <c r="BG13" i="19"/>
  <c r="VI42" i="21"/>
  <c r="AB11" i="19"/>
  <c r="BA22" i="19"/>
  <c r="C33" i="18"/>
  <c r="VQ14" i="21"/>
  <c r="VN14" i="21" s="1"/>
  <c r="CY14" i="5"/>
  <c r="CO30" i="5"/>
  <c r="CO32" i="5" s="1"/>
  <c r="DU30" i="5"/>
  <c r="DU32" i="5" s="1"/>
  <c r="H69" i="11"/>
  <c r="G82" i="11"/>
  <c r="W14" i="17"/>
  <c r="AP14" i="17"/>
  <c r="W20" i="17"/>
  <c r="AP21" i="17"/>
  <c r="W24" i="17"/>
  <c r="AM25" i="17"/>
  <c r="U27" i="17"/>
  <c r="AI26" i="19"/>
  <c r="DE28" i="5"/>
  <c r="JI28" i="5"/>
  <c r="JJ10" i="5"/>
  <c r="JJ28" i="5" s="1"/>
  <c r="IK28" i="5"/>
  <c r="JC28" i="5"/>
  <c r="JC35" i="5" s="1"/>
  <c r="AK32" i="5"/>
  <c r="H15" i="8"/>
  <c r="H18" i="8"/>
  <c r="H21" i="8"/>
  <c r="H24" i="8"/>
  <c r="H181" i="11"/>
  <c r="G219" i="11"/>
  <c r="I219" i="11" s="1"/>
  <c r="AH13" i="19"/>
  <c r="BD37" i="20"/>
  <c r="HM28" i="5"/>
  <c r="EK28" i="5"/>
  <c r="CO28" i="5"/>
  <c r="DM28" i="5"/>
  <c r="ES28" i="5"/>
  <c r="FS28" i="5"/>
  <c r="FS35" i="5" s="1"/>
  <c r="GG28" i="5"/>
  <c r="IL28" i="5"/>
  <c r="JQ28" i="5"/>
  <c r="KO28" i="5"/>
  <c r="H8" i="8"/>
  <c r="G11" i="9"/>
  <c r="I11" i="9" s="1"/>
  <c r="AD29" i="17"/>
  <c r="AD36" i="17" s="1"/>
  <c r="AB19" i="19"/>
  <c r="BG24" i="19"/>
  <c r="L30" i="20"/>
  <c r="L38" i="20" s="1"/>
  <c r="AD30" i="20"/>
  <c r="AD38" i="20" s="1"/>
  <c r="AT30" i="20"/>
  <c r="AT38" i="20" s="1"/>
  <c r="AS28" i="5"/>
  <c r="E33" i="3"/>
  <c r="GW28" i="5"/>
  <c r="HU28" i="5"/>
  <c r="IM21" i="5"/>
  <c r="CY25" i="5"/>
  <c r="U26" i="5"/>
  <c r="BY32" i="5"/>
  <c r="KO32" i="5"/>
  <c r="H16" i="6"/>
  <c r="H26" i="8"/>
  <c r="H16" i="9"/>
  <c r="B61" i="15"/>
  <c r="D61" i="15" s="1"/>
  <c r="L17" i="17"/>
  <c r="BB17" i="17"/>
  <c r="X19" i="17"/>
  <c r="AM23" i="17"/>
  <c r="BB24" i="17"/>
  <c r="N33" i="18"/>
  <c r="N32" i="18" s="1"/>
  <c r="AD33" i="18"/>
  <c r="AD32" i="18" s="1"/>
  <c r="BA15" i="19"/>
  <c r="L37" i="20"/>
  <c r="AD37" i="20"/>
  <c r="AT37" i="20"/>
  <c r="DU28" i="5"/>
  <c r="FA28" i="5"/>
  <c r="JY28" i="5"/>
  <c r="KP32" i="5"/>
  <c r="H14" i="8"/>
  <c r="H17" i="8"/>
  <c r="Z29" i="16"/>
  <c r="BF29" i="16"/>
  <c r="BN29" i="16"/>
  <c r="CP29" i="16"/>
  <c r="CZ29" i="16"/>
  <c r="CX22" i="16"/>
  <c r="L19" i="17"/>
  <c r="AP20" i="17"/>
  <c r="L27" i="17"/>
  <c r="AP27" i="17"/>
  <c r="I2" i="18"/>
  <c r="P33" i="18"/>
  <c r="P32" i="18" s="1"/>
  <c r="AF33" i="18"/>
  <c r="AF32" i="18" s="1"/>
  <c r="P31" i="18"/>
  <c r="AF31" i="18"/>
  <c r="AV26" i="19"/>
  <c r="BA9" i="19"/>
  <c r="AH24" i="19"/>
  <c r="JB28" i="5"/>
  <c r="HE28" i="5"/>
  <c r="IC28" i="5"/>
  <c r="IS28" i="5"/>
  <c r="BA32" i="5"/>
  <c r="IC32" i="5"/>
  <c r="JQ32" i="5"/>
  <c r="H7" i="8"/>
  <c r="G49" i="9"/>
  <c r="H37" i="11"/>
  <c r="I27" i="17"/>
  <c r="AT13" i="19"/>
  <c r="AH14" i="19"/>
  <c r="V9" i="19"/>
  <c r="AB22" i="19"/>
  <c r="KY28" i="5"/>
  <c r="KY35" i="5" s="1"/>
  <c r="HN19" i="5"/>
  <c r="BY28" i="5"/>
  <c r="FI28" i="5"/>
  <c r="GQ28" i="5"/>
  <c r="GQ35" i="5" s="1"/>
  <c r="IF28" i="5"/>
  <c r="IF35" i="5" s="1"/>
  <c r="KG28" i="5"/>
  <c r="KW28" i="5"/>
  <c r="U24" i="5"/>
  <c r="CY24" i="5"/>
  <c r="KQ31" i="5"/>
  <c r="O31" i="5" s="1"/>
  <c r="D31" i="5" s="1"/>
  <c r="H13" i="8"/>
  <c r="H25" i="8"/>
  <c r="H31" i="8"/>
  <c r="E8" i="9"/>
  <c r="G92" i="11"/>
  <c r="I92" i="11" s="1"/>
  <c r="CX13" i="16"/>
  <c r="CX15" i="16"/>
  <c r="CX17" i="16"/>
  <c r="CX19" i="16"/>
  <c r="BB23" i="17"/>
  <c r="B21" i="18"/>
  <c r="VP26" i="21" s="1"/>
  <c r="VK26" i="21" s="1"/>
  <c r="VJ26" i="21" s="1"/>
  <c r="E23" i="17" s="1"/>
  <c r="AB12" i="19"/>
  <c r="AH17" i="19"/>
  <c r="AH10" i="19"/>
  <c r="AT11" i="19"/>
  <c r="BG11" i="19"/>
  <c r="IQ12" i="5"/>
  <c r="KQ14" i="5"/>
  <c r="GA30" i="5"/>
  <c r="GA32" i="5" s="1"/>
  <c r="IM25" i="5"/>
  <c r="DC26" i="5"/>
  <c r="KU13" i="5"/>
  <c r="DC15" i="5"/>
  <c r="CY18" i="5"/>
  <c r="KU20" i="5"/>
  <c r="IM22" i="5"/>
  <c r="IM23" i="5"/>
  <c r="KU11" i="5"/>
  <c r="HR12" i="5"/>
  <c r="IM14" i="5"/>
  <c r="IM18" i="5"/>
  <c r="IQ25" i="5"/>
  <c r="HR26" i="5"/>
  <c r="R26" i="5" s="1"/>
  <c r="G26" i="5" s="1"/>
  <c r="CY12" i="5"/>
  <c r="IM12" i="5"/>
  <c r="KQ12" i="5"/>
  <c r="HR13" i="5"/>
  <c r="CY17" i="5"/>
  <c r="IM20" i="5"/>
  <c r="DC12" i="5"/>
  <c r="IQ14" i="5"/>
  <c r="DI32" i="5"/>
  <c r="EP32" i="5"/>
  <c r="EP35" i="5" s="1"/>
  <c r="GP30" i="5"/>
  <c r="GP32" i="5" s="1"/>
  <c r="GP35" i="5" s="1"/>
  <c r="H22" i="9"/>
  <c r="E34" i="11"/>
  <c r="H48" i="11"/>
  <c r="H82" i="11"/>
  <c r="H147" i="11"/>
  <c r="H151" i="11"/>
  <c r="H200" i="11"/>
  <c r="H215" i="11"/>
  <c r="H219" i="11"/>
  <c r="E236" i="11"/>
  <c r="H236" i="11" s="1"/>
  <c r="H299" i="11"/>
  <c r="E302" i="11"/>
  <c r="H388" i="11"/>
  <c r="H423" i="11"/>
  <c r="B43" i="15"/>
  <c r="CY21" i="16"/>
  <c r="CH32" i="16"/>
  <c r="DG32" i="16" s="1"/>
  <c r="CR33" i="16"/>
  <c r="CR41" i="16" s="1"/>
  <c r="X12" i="17"/>
  <c r="X13" i="17"/>
  <c r="L23" i="17"/>
  <c r="L25" i="17"/>
  <c r="X26" i="17"/>
  <c r="BD26" i="17"/>
  <c r="DM32" i="5"/>
  <c r="KL32" i="5"/>
  <c r="F41" i="11"/>
  <c r="H41" i="11" s="1"/>
  <c r="G79" i="11"/>
  <c r="I79" i="11" s="1"/>
  <c r="E130" i="11"/>
  <c r="H130" i="11" s="1"/>
  <c r="G151" i="11"/>
  <c r="I151" i="11" s="1"/>
  <c r="G200" i="11"/>
  <c r="I200" i="11" s="1"/>
  <c r="H222" i="11"/>
  <c r="H435" i="11"/>
  <c r="H438" i="11"/>
  <c r="G450" i="11"/>
  <c r="I450" i="11" s="1"/>
  <c r="F40" i="16"/>
  <c r="T29" i="16"/>
  <c r="AB29" i="16"/>
  <c r="AJ40" i="16"/>
  <c r="AR40" i="16"/>
  <c r="AZ29" i="16"/>
  <c r="BR29" i="16"/>
  <c r="BZ40" i="16"/>
  <c r="CJ29" i="16"/>
  <c r="CY12" i="16"/>
  <c r="CX25" i="16"/>
  <c r="R33" i="16"/>
  <c r="R41" i="16" s="1"/>
  <c r="Z33" i="16"/>
  <c r="Z41" i="16" s="1"/>
  <c r="AH33" i="16"/>
  <c r="AH41" i="16" s="1"/>
  <c r="AP33" i="16"/>
  <c r="AP41" i="16" s="1"/>
  <c r="AX33" i="16"/>
  <c r="AX41" i="16" s="1"/>
  <c r="BF33" i="16"/>
  <c r="BF41" i="16" s="1"/>
  <c r="BN33" i="16"/>
  <c r="BN41" i="16" s="1"/>
  <c r="BX33" i="16"/>
  <c r="BX41" i="16" s="1"/>
  <c r="CF33" i="16"/>
  <c r="CF41" i="16" s="1"/>
  <c r="CP33" i="16"/>
  <c r="CP41" i="16" s="1"/>
  <c r="CY32" i="16"/>
  <c r="AA40" i="17"/>
  <c r="AP17" i="17"/>
  <c r="B19" i="18"/>
  <c r="VP24" i="21" s="1"/>
  <c r="VK24" i="21" s="1"/>
  <c r="VJ24" i="21" s="1"/>
  <c r="E21" i="17" s="1"/>
  <c r="V15" i="19"/>
  <c r="V16" i="19"/>
  <c r="AH16" i="19"/>
  <c r="AN17" i="19"/>
  <c r="AB18" i="19"/>
  <c r="AT20" i="19"/>
  <c r="AT21" i="19"/>
  <c r="BM22" i="19"/>
  <c r="V25" i="19"/>
  <c r="F409" i="11"/>
  <c r="F424" i="11"/>
  <c r="G40" i="16"/>
  <c r="DC40" i="16"/>
  <c r="CY16" i="16"/>
  <c r="CY25" i="16"/>
  <c r="CY27" i="16"/>
  <c r="BY33" i="16"/>
  <c r="BY41" i="16" s="1"/>
  <c r="CG33" i="16"/>
  <c r="CG41" i="16" s="1"/>
  <c r="CQ33" i="16"/>
  <c r="CQ41" i="16" s="1"/>
  <c r="BB19" i="17"/>
  <c r="L20" i="17"/>
  <c r="B8" i="18"/>
  <c r="VP13" i="21" s="1"/>
  <c r="T33" i="18"/>
  <c r="T32" i="18" s="1"/>
  <c r="AJ33" i="18"/>
  <c r="AJ32" i="18" s="1"/>
  <c r="B9" i="18"/>
  <c r="VP14" i="21" s="1"/>
  <c r="VK14" i="21" s="1"/>
  <c r="VJ14" i="21" s="1"/>
  <c r="E15" i="17" s="1"/>
  <c r="B10" i="18"/>
  <c r="VP15" i="21" s="1"/>
  <c r="VK15" i="21" s="1"/>
  <c r="VJ15" i="21" s="1"/>
  <c r="E19" i="17" s="1"/>
  <c r="R31" i="18"/>
  <c r="AH31" i="18"/>
  <c r="J31" i="18"/>
  <c r="Z31" i="18"/>
  <c r="AH12" i="19"/>
  <c r="BM13" i="19"/>
  <c r="BA14" i="19"/>
  <c r="AH9" i="19"/>
  <c r="AN15" i="19"/>
  <c r="AB17" i="19"/>
  <c r="BG10" i="19"/>
  <c r="AT19" i="19"/>
  <c r="AB20" i="19"/>
  <c r="AB21" i="19"/>
  <c r="BM21" i="19"/>
  <c r="BM11" i="19"/>
  <c r="AJ30" i="20"/>
  <c r="AJ38" i="20" s="1"/>
  <c r="AZ30" i="20"/>
  <c r="AZ38" i="20" s="1"/>
  <c r="N30" i="20"/>
  <c r="N38" i="20" s="1"/>
  <c r="AF30" i="20"/>
  <c r="AF38" i="20" s="1"/>
  <c r="AV30" i="20"/>
  <c r="AV38" i="20" s="1"/>
  <c r="D30" i="20"/>
  <c r="D38" i="20" s="1"/>
  <c r="AL30" i="20"/>
  <c r="AL38" i="20" s="1"/>
  <c r="BB30" i="20"/>
  <c r="BB38" i="20" s="1"/>
  <c r="H17" i="9"/>
  <c r="H76" i="11"/>
  <c r="H116" i="11"/>
  <c r="G303" i="11"/>
  <c r="I303" i="11" s="1"/>
  <c r="H414" i="11"/>
  <c r="G429" i="11"/>
  <c r="G430" i="11" s="1"/>
  <c r="I430" i="11" s="1"/>
  <c r="H432" i="11"/>
  <c r="E436" i="11"/>
  <c r="G451" i="11"/>
  <c r="G452" i="11" s="1"/>
  <c r="I452" i="11" s="1"/>
  <c r="H506" i="11"/>
  <c r="B72" i="15"/>
  <c r="AE29" i="16"/>
  <c r="AM29" i="16"/>
  <c r="AU29" i="16"/>
  <c r="BC29" i="16"/>
  <c r="CH13" i="16"/>
  <c r="DG13" i="16" s="1"/>
  <c r="CY20" i="16"/>
  <c r="BB11" i="17"/>
  <c r="BB12" i="17"/>
  <c r="L14" i="17"/>
  <c r="X17" i="17"/>
  <c r="I19" i="17"/>
  <c r="BB21" i="17"/>
  <c r="AP22" i="17"/>
  <c r="AP24" i="17"/>
  <c r="AY27" i="17"/>
  <c r="F31" i="18"/>
  <c r="V31" i="18"/>
  <c r="AL31" i="18"/>
  <c r="BA8" i="19"/>
  <c r="V12" i="19"/>
  <c r="BA12" i="19"/>
  <c r="V13" i="19"/>
  <c r="AB15" i="19"/>
  <c r="BG16" i="19"/>
  <c r="AT17" i="19"/>
  <c r="AH18" i="19"/>
  <c r="BA20" i="19"/>
  <c r="BA21" i="19"/>
  <c r="AN23" i="19"/>
  <c r="AB25" i="19"/>
  <c r="BG25" i="19"/>
  <c r="IM26" i="5"/>
  <c r="H27" i="9"/>
  <c r="G116" i="11"/>
  <c r="I116" i="11" s="1"/>
  <c r="G235" i="11"/>
  <c r="I235" i="11" s="1"/>
  <c r="G306" i="11"/>
  <c r="I306" i="11" s="1"/>
  <c r="H429" i="11"/>
  <c r="C72" i="15"/>
  <c r="P40" i="16"/>
  <c r="X40" i="16"/>
  <c r="AF40" i="16"/>
  <c r="AN40" i="16"/>
  <c r="AV40" i="16"/>
  <c r="BD40" i="16"/>
  <c r="BL40" i="16"/>
  <c r="CN29" i="16"/>
  <c r="CV40" i="16"/>
  <c r="CY13" i="16"/>
  <c r="CH17" i="16"/>
  <c r="DG17" i="16" s="1"/>
  <c r="CX21" i="16"/>
  <c r="CX23" i="16"/>
  <c r="J33" i="16"/>
  <c r="J41" i="16" s="1"/>
  <c r="AT33" i="16"/>
  <c r="AT41" i="16" s="1"/>
  <c r="CL33" i="16"/>
  <c r="CL41" i="16" s="1"/>
  <c r="CT33" i="16"/>
  <c r="CT41" i="16" s="1"/>
  <c r="BB14" i="17"/>
  <c r="BB15" i="17"/>
  <c r="BB16" i="17"/>
  <c r="AM21" i="17"/>
  <c r="AY22" i="17"/>
  <c r="X28" i="17"/>
  <c r="AN12" i="19"/>
  <c r="B14" i="19"/>
  <c r="VD19" i="21" s="1"/>
  <c r="P14" i="17" s="1"/>
  <c r="AB14" i="19"/>
  <c r="BG9" i="19"/>
  <c r="AT16" i="19"/>
  <c r="BM10" i="19"/>
  <c r="BA19" i="19"/>
  <c r="B11" i="19"/>
  <c r="VD16" i="21" s="1"/>
  <c r="P24" i="17" s="1"/>
  <c r="AN11" i="19"/>
  <c r="F11" i="19"/>
  <c r="VH16" i="21" s="1"/>
  <c r="AB24" i="17" s="1"/>
  <c r="BG23" i="19"/>
  <c r="F37" i="20"/>
  <c r="V37" i="20"/>
  <c r="AN37" i="20"/>
  <c r="F44" i="11"/>
  <c r="F47" i="11" s="1"/>
  <c r="Q40" i="16"/>
  <c r="Y40" i="16"/>
  <c r="AG40" i="16"/>
  <c r="AO40" i="16"/>
  <c r="AW40" i="16"/>
  <c r="BE40" i="16"/>
  <c r="BM40" i="16"/>
  <c r="BW40" i="16"/>
  <c r="CE40" i="16"/>
  <c r="CO40" i="16"/>
  <c r="CW40" i="16"/>
  <c r="K33" i="16"/>
  <c r="K41" i="16" s="1"/>
  <c r="W33" i="16"/>
  <c r="W41" i="16" s="1"/>
  <c r="AE33" i="16"/>
  <c r="AE41" i="16" s="1"/>
  <c r="AM33" i="16"/>
  <c r="AM41" i="16" s="1"/>
  <c r="AU33" i="16"/>
  <c r="AU41" i="16" s="1"/>
  <c r="BC33" i="16"/>
  <c r="BC41" i="16" s="1"/>
  <c r="BK33" i="16"/>
  <c r="BK41" i="16" s="1"/>
  <c r="BU33" i="16"/>
  <c r="BU41" i="16" s="1"/>
  <c r="CC33" i="16"/>
  <c r="CC41" i="16" s="1"/>
  <c r="CZ33" i="16"/>
  <c r="CZ41" i="16" s="1"/>
  <c r="BD12" i="17"/>
  <c r="L18" i="17"/>
  <c r="X20" i="17"/>
  <c r="BB20" i="17"/>
  <c r="U22" i="17"/>
  <c r="BB25" i="17"/>
  <c r="X27" i="17"/>
  <c r="AY28" i="17"/>
  <c r="L33" i="18"/>
  <c r="L32" i="18" s="1"/>
  <c r="AB33" i="18"/>
  <c r="AB32" i="18" s="1"/>
  <c r="C8" i="19"/>
  <c r="VE13" i="21" s="1"/>
  <c r="AT11" i="17" s="1"/>
  <c r="C12" i="19"/>
  <c r="VE17" i="21" s="1"/>
  <c r="AT12" i="17" s="1"/>
  <c r="AT9" i="19"/>
  <c r="BA10" i="19"/>
  <c r="V18" i="19"/>
  <c r="BA18" i="19"/>
  <c r="AN20" i="19"/>
  <c r="BG22" i="19"/>
  <c r="E19" i="9"/>
  <c r="H283" i="11"/>
  <c r="C61" i="15"/>
  <c r="CH21" i="16"/>
  <c r="DG21" i="16" s="1"/>
  <c r="I20" i="17"/>
  <c r="AP23" i="17"/>
  <c r="L31" i="18"/>
  <c r="AB31" i="18"/>
  <c r="X26" i="19"/>
  <c r="V17" i="19"/>
  <c r="BA17" i="19"/>
  <c r="AN18" i="19"/>
  <c r="AN19" i="19"/>
  <c r="BG21" i="19"/>
  <c r="AT23" i="19"/>
  <c r="AT24" i="19"/>
  <c r="I45" i="9"/>
  <c r="G43" i="9"/>
  <c r="I43" i="9" s="1"/>
  <c r="HZ10" i="5"/>
  <c r="HZ28" i="5" s="1"/>
  <c r="JV10" i="5"/>
  <c r="CY11" i="5"/>
  <c r="IM11" i="5"/>
  <c r="HN12" i="5"/>
  <c r="CY13" i="5"/>
  <c r="IM13" i="5"/>
  <c r="HN14" i="5"/>
  <c r="HN15" i="5"/>
  <c r="IM16" i="5"/>
  <c r="HN17" i="5"/>
  <c r="IM19" i="5"/>
  <c r="KU19" i="5"/>
  <c r="HR20" i="5"/>
  <c r="R20" i="5" s="1"/>
  <c r="G20" i="5" s="1"/>
  <c r="IM24" i="5"/>
  <c r="HN27" i="5"/>
  <c r="BB30" i="5"/>
  <c r="BB32" i="5" s="1"/>
  <c r="KG32" i="5"/>
  <c r="F25" i="9"/>
  <c r="H36" i="9"/>
  <c r="F59" i="9"/>
  <c r="F65" i="9" s="1"/>
  <c r="IQ21" i="5"/>
  <c r="DC25" i="5"/>
  <c r="KQ25" i="5"/>
  <c r="CG32" i="5"/>
  <c r="DE32" i="5"/>
  <c r="ED30" i="5"/>
  <c r="ED32" i="5" s="1"/>
  <c r="FE32" i="5"/>
  <c r="LB30" i="5"/>
  <c r="LB32" i="5" s="1"/>
  <c r="H21" i="9"/>
  <c r="E43" i="9"/>
  <c r="H43" i="9" s="1"/>
  <c r="JZ10" i="5"/>
  <c r="JZ28" i="5" s="1"/>
  <c r="DC11" i="5"/>
  <c r="DC13" i="5"/>
  <c r="CH32" i="5"/>
  <c r="IG32" i="5"/>
  <c r="IG35" i="5" s="1"/>
  <c r="H72" i="11"/>
  <c r="KU17" i="5"/>
  <c r="IQ19" i="5"/>
  <c r="AL30" i="5"/>
  <c r="AL32" i="5" s="1"/>
  <c r="FJ30" i="5"/>
  <c r="FJ32" i="5" s="1"/>
  <c r="FJ35" i="5" s="1"/>
  <c r="E14" i="9"/>
  <c r="H29" i="9"/>
  <c r="F74" i="11"/>
  <c r="H73" i="11"/>
  <c r="G155" i="11"/>
  <c r="H155" i="11"/>
  <c r="I223" i="11"/>
  <c r="G224" i="11"/>
  <c r="I224" i="11" s="1"/>
  <c r="G244" i="11"/>
  <c r="I244" i="11" s="1"/>
  <c r="G239" i="11"/>
  <c r="I239" i="11" s="1"/>
  <c r="I242" i="11"/>
  <c r="HN11" i="5"/>
  <c r="HN13" i="5"/>
  <c r="KQ18" i="5"/>
  <c r="DC20" i="5"/>
  <c r="CY21" i="5"/>
  <c r="HN21" i="5"/>
  <c r="HN22" i="5"/>
  <c r="HN23" i="5"/>
  <c r="DN30" i="5"/>
  <c r="DN32" i="5" s="1"/>
  <c r="KQ30" i="5"/>
  <c r="JU32" i="5"/>
  <c r="H35" i="9"/>
  <c r="H158" i="11"/>
  <c r="KQ11" i="5"/>
  <c r="KQ13" i="5"/>
  <c r="CY15" i="5"/>
  <c r="CY19" i="5"/>
  <c r="CY22" i="5"/>
  <c r="HN24" i="5"/>
  <c r="CY26" i="5"/>
  <c r="IQ27" i="5"/>
  <c r="CS32" i="5"/>
  <c r="ES32" i="5"/>
  <c r="FQ32" i="5"/>
  <c r="EW32" i="5"/>
  <c r="G12" i="9"/>
  <c r="I12" i="9" s="1"/>
  <c r="H47" i="9"/>
  <c r="H49" i="9"/>
  <c r="GX10" i="5"/>
  <c r="GX28" i="5" s="1"/>
  <c r="ET32" i="5"/>
  <c r="ET35" i="5" s="1"/>
  <c r="HN20" i="5"/>
  <c r="KU21" i="5"/>
  <c r="T32" i="5"/>
  <c r="CX30" i="5"/>
  <c r="CX32" i="5" s="1"/>
  <c r="GW32" i="5"/>
  <c r="IX32" i="5"/>
  <c r="KW32" i="5"/>
  <c r="F6" i="8"/>
  <c r="H10" i="9"/>
  <c r="H12" i="9"/>
  <c r="E25" i="9"/>
  <c r="E33" i="9"/>
  <c r="H40" i="9"/>
  <c r="G119" i="11"/>
  <c r="E121" i="11"/>
  <c r="G121" i="11" s="1"/>
  <c r="I121" i="11" s="1"/>
  <c r="H226" i="11"/>
  <c r="H276" i="11"/>
  <c r="F282" i="11"/>
  <c r="I6" i="6" s="1"/>
  <c r="G6" i="6" s="1"/>
  <c r="E395" i="11"/>
  <c r="G444" i="11"/>
  <c r="G445" i="11" s="1"/>
  <c r="I445" i="11" s="1"/>
  <c r="H477" i="11"/>
  <c r="G480" i="11"/>
  <c r="I480" i="11" s="1"/>
  <c r="CY14" i="16"/>
  <c r="CY18" i="16"/>
  <c r="CY22" i="16"/>
  <c r="CY26" i="16"/>
  <c r="BD13" i="17"/>
  <c r="L15" i="17"/>
  <c r="B14" i="18"/>
  <c r="VP19" i="21" s="1"/>
  <c r="VK19" i="21" s="1"/>
  <c r="VJ19" i="21" s="1"/>
  <c r="E14" i="17" s="1"/>
  <c r="B15" i="18"/>
  <c r="VP20" i="21" s="1"/>
  <c r="VK20" i="21" s="1"/>
  <c r="VJ20" i="21" s="1"/>
  <c r="E16" i="17" s="1"/>
  <c r="B16" i="18"/>
  <c r="VP21" i="21" s="1"/>
  <c r="VK21" i="21" s="1"/>
  <c r="VJ21" i="21" s="1"/>
  <c r="E17" i="17" s="1"/>
  <c r="BA13" i="19"/>
  <c r="B17" i="19"/>
  <c r="VD22" i="21" s="1"/>
  <c r="P18" i="17" s="1"/>
  <c r="E59" i="9"/>
  <c r="H18" i="11"/>
  <c r="H79" i="11"/>
  <c r="H142" i="11"/>
  <c r="H150" i="11"/>
  <c r="G203" i="11"/>
  <c r="I203" i="11" s="1"/>
  <c r="H245" i="11"/>
  <c r="E286" i="11"/>
  <c r="G286" i="11" s="1"/>
  <c r="I286" i="11" s="1"/>
  <c r="E294" i="11"/>
  <c r="H304" i="11"/>
  <c r="H345" i="11"/>
  <c r="H360" i="11"/>
  <c r="H471" i="11"/>
  <c r="H480" i="11"/>
  <c r="CV29" i="16"/>
  <c r="CH18" i="16"/>
  <c r="DG18" i="16" s="1"/>
  <c r="CH22" i="16"/>
  <c r="DG22" i="16" s="1"/>
  <c r="CH26" i="16"/>
  <c r="DG26" i="16" s="1"/>
  <c r="T40" i="16"/>
  <c r="AJ26" i="19"/>
  <c r="AH8" i="19"/>
  <c r="AN14" i="19"/>
  <c r="AL26" i="19"/>
  <c r="AP41" i="20" s="1"/>
  <c r="BB14" i="19"/>
  <c r="AT10" i="19"/>
  <c r="F25" i="19"/>
  <c r="VH30" i="21" s="1"/>
  <c r="AB28" i="17" s="1"/>
  <c r="H30" i="9"/>
  <c r="E44" i="11"/>
  <c r="E47" i="11" s="1"/>
  <c r="G69" i="11"/>
  <c r="I69" i="11" s="1"/>
  <c r="G72" i="11"/>
  <c r="I72" i="11" s="1"/>
  <c r="G140" i="11"/>
  <c r="I140" i="11" s="1"/>
  <c r="E224" i="11"/>
  <c r="E277" i="11"/>
  <c r="G277" i="11" s="1"/>
  <c r="G291" i="11"/>
  <c r="I291" i="11" s="1"/>
  <c r="H342" i="11"/>
  <c r="G359" i="11"/>
  <c r="I359" i="11" s="1"/>
  <c r="G414" i="11"/>
  <c r="I414" i="11" s="1"/>
  <c r="H417" i="11"/>
  <c r="E424" i="11"/>
  <c r="G424" i="11" s="1"/>
  <c r="I424" i="11" s="1"/>
  <c r="F475" i="11"/>
  <c r="C43" i="15"/>
  <c r="CY15" i="16"/>
  <c r="CY19" i="16"/>
  <c r="CY23" i="16"/>
  <c r="CX28" i="16"/>
  <c r="AD33" i="16"/>
  <c r="AD41" i="16" s="1"/>
  <c r="AL33" i="16"/>
  <c r="AL41" i="16" s="1"/>
  <c r="BB33" i="16"/>
  <c r="BB41" i="16" s="1"/>
  <c r="BJ33" i="16"/>
  <c r="BJ41" i="16" s="1"/>
  <c r="BT33" i="16"/>
  <c r="BT41" i="16" s="1"/>
  <c r="AZ40" i="16"/>
  <c r="F29" i="17"/>
  <c r="BD15" i="17"/>
  <c r="BD19" i="17"/>
  <c r="B23" i="19"/>
  <c r="VD28" i="21" s="1"/>
  <c r="P26" i="17" s="1"/>
  <c r="H298" i="11"/>
  <c r="H359" i="11"/>
  <c r="G481" i="11"/>
  <c r="I481" i="11" s="1"/>
  <c r="CX12" i="16"/>
  <c r="AP29" i="16"/>
  <c r="CH15" i="16"/>
  <c r="DG15" i="16" s="1"/>
  <c r="CX16" i="16"/>
  <c r="CH19" i="16"/>
  <c r="DG19" i="16" s="1"/>
  <c r="CX20" i="16"/>
  <c r="CH23" i="16"/>
  <c r="DG23" i="16" s="1"/>
  <c r="CX24" i="16"/>
  <c r="CH27" i="16"/>
  <c r="DG27" i="16" s="1"/>
  <c r="CY28" i="16"/>
  <c r="L31" i="17"/>
  <c r="F33" i="17"/>
  <c r="F41" i="17" s="1"/>
  <c r="AW36" i="17"/>
  <c r="AN22" i="19"/>
  <c r="F24" i="19"/>
  <c r="VH29" i="21" s="1"/>
  <c r="AB27" i="17" s="1"/>
  <c r="AB24" i="19"/>
  <c r="H92" i="11"/>
  <c r="F115" i="11"/>
  <c r="E239" i="11"/>
  <c r="H264" i="11"/>
  <c r="F337" i="11"/>
  <c r="E346" i="11"/>
  <c r="G346" i="11" s="1"/>
  <c r="I346" i="11" s="1"/>
  <c r="CH28" i="16"/>
  <c r="DG28" i="16" s="1"/>
  <c r="AG29" i="16"/>
  <c r="BD11" i="17"/>
  <c r="L13" i="17"/>
  <c r="AP19" i="17"/>
  <c r="U24" i="17"/>
  <c r="B13" i="18"/>
  <c r="VP18" i="21" s="1"/>
  <c r="VK18" i="21" s="1"/>
  <c r="VJ18" i="21" s="1"/>
  <c r="E13" i="17" s="1"/>
  <c r="BE26" i="19"/>
  <c r="BF41" i="20" s="1"/>
  <c r="B20" i="19"/>
  <c r="VD25" i="21" s="1"/>
  <c r="P22" i="17" s="1"/>
  <c r="F20" i="19"/>
  <c r="VH25" i="21" s="1"/>
  <c r="AB22" i="17" s="1"/>
  <c r="AN21" i="19"/>
  <c r="G158" i="11"/>
  <c r="I158" i="11" s="1"/>
  <c r="E244" i="11"/>
  <c r="G287" i="11"/>
  <c r="I287" i="11" s="1"/>
  <c r="H295" i="11"/>
  <c r="G315" i="11"/>
  <c r="I315" i="11" s="1"/>
  <c r="G407" i="11"/>
  <c r="I407" i="11" s="1"/>
  <c r="CH12" i="16"/>
  <c r="DG12" i="16" s="1"/>
  <c r="BH29" i="16"/>
  <c r="CH16" i="16"/>
  <c r="DG16" i="16" s="1"/>
  <c r="CH20" i="16"/>
  <c r="DG20" i="16" s="1"/>
  <c r="CH24" i="16"/>
  <c r="DG24" i="16" s="1"/>
  <c r="CH25" i="16"/>
  <c r="DG25" i="16" s="1"/>
  <c r="AY29" i="16"/>
  <c r="DC33" i="16"/>
  <c r="DC41" i="16" s="1"/>
  <c r="CI32" i="16"/>
  <c r="DH32" i="16" s="1"/>
  <c r="Q40" i="17"/>
  <c r="AP16" i="17"/>
  <c r="BB18" i="17"/>
  <c r="BB22" i="17"/>
  <c r="AR26" i="19"/>
  <c r="AR41" i="20" s="1"/>
  <c r="AT8" i="19"/>
  <c r="BC37" i="20"/>
  <c r="VC13" i="21"/>
  <c r="H507" i="11"/>
  <c r="F8" i="12"/>
  <c r="BW29" i="16"/>
  <c r="CM33" i="16"/>
  <c r="CM41" i="16" s="1"/>
  <c r="CU33" i="16"/>
  <c r="CU41" i="16" s="1"/>
  <c r="X11" i="17"/>
  <c r="L21" i="17"/>
  <c r="I22" i="17"/>
  <c r="X22" i="17"/>
  <c r="BD27" i="17"/>
  <c r="AM28" i="17"/>
  <c r="R8" i="19"/>
  <c r="P8" i="19" s="1"/>
  <c r="N26" i="19"/>
  <c r="AD26" i="19"/>
  <c r="F13" i="19"/>
  <c r="VH18" i="21" s="1"/>
  <c r="AB13" i="17" s="1"/>
  <c r="BA16" i="19"/>
  <c r="C17" i="19"/>
  <c r="VE22" i="21" s="1"/>
  <c r="AT18" i="17" s="1"/>
  <c r="BB17" i="19"/>
  <c r="F23" i="19"/>
  <c r="VH28" i="21" s="1"/>
  <c r="AB26" i="17" s="1"/>
  <c r="AB23" i="19"/>
  <c r="G187" i="11"/>
  <c r="I187" i="11" s="1"/>
  <c r="H206" i="11"/>
  <c r="G215" i="11"/>
  <c r="I215" i="11" s="1"/>
  <c r="E282" i="11"/>
  <c r="F302" i="11"/>
  <c r="I7" i="6" s="1"/>
  <c r="G7" i="6" s="1"/>
  <c r="H315" i="11"/>
  <c r="H318" i="11"/>
  <c r="G351" i="11"/>
  <c r="I351" i="11" s="1"/>
  <c r="H391" i="11"/>
  <c r="H420" i="11"/>
  <c r="H447" i="11"/>
  <c r="G477" i="11"/>
  <c r="I477" i="11" s="1"/>
  <c r="H481" i="11"/>
  <c r="G503" i="11"/>
  <c r="I503" i="11" s="1"/>
  <c r="G506" i="11"/>
  <c r="I506" i="11" s="1"/>
  <c r="B54" i="15"/>
  <c r="CX14" i="16"/>
  <c r="CX18" i="16"/>
  <c r="CX26" i="16"/>
  <c r="P33" i="16"/>
  <c r="P41" i="16" s="1"/>
  <c r="X33" i="16"/>
  <c r="X41" i="16" s="1"/>
  <c r="AF33" i="16"/>
  <c r="AF41" i="16" s="1"/>
  <c r="AN33" i="16"/>
  <c r="AN41" i="16" s="1"/>
  <c r="AV33" i="16"/>
  <c r="AV41" i="16" s="1"/>
  <c r="BD33" i="16"/>
  <c r="BD41" i="16" s="1"/>
  <c r="BL33" i="16"/>
  <c r="BL41" i="16" s="1"/>
  <c r="BV33" i="16"/>
  <c r="BV41" i="16" s="1"/>
  <c r="CD33" i="16"/>
  <c r="CD41" i="16" s="1"/>
  <c r="CN33" i="16"/>
  <c r="CN41" i="16" s="1"/>
  <c r="DE33" i="16"/>
  <c r="DE41" i="16" s="1"/>
  <c r="AS29" i="17"/>
  <c r="AS36" i="17" s="1"/>
  <c r="AP12" i="17"/>
  <c r="AM24" i="17"/>
  <c r="B18" i="18"/>
  <c r="VP23" i="21" s="1"/>
  <c r="VK23" i="21" s="1"/>
  <c r="VJ23" i="21" s="1"/>
  <c r="E20" i="17" s="1"/>
  <c r="B20" i="18"/>
  <c r="VP25" i="21" s="1"/>
  <c r="VK25" i="21" s="1"/>
  <c r="VJ25" i="21" s="1"/>
  <c r="E22" i="17" s="1"/>
  <c r="AF26" i="19"/>
  <c r="AL41" i="20" s="1"/>
  <c r="V14" i="19"/>
  <c r="H26" i="20"/>
  <c r="Z26" i="20"/>
  <c r="AP26" i="20"/>
  <c r="BD17" i="17"/>
  <c r="AM18" i="17"/>
  <c r="AM22" i="17"/>
  <c r="AY23" i="17"/>
  <c r="BD23" i="17"/>
  <c r="X25" i="17"/>
  <c r="BB26" i="17"/>
  <c r="BB27" i="17"/>
  <c r="C78" i="17"/>
  <c r="H33" i="18"/>
  <c r="H32" i="18" s="1"/>
  <c r="X33" i="18"/>
  <c r="X32" i="18" s="1"/>
  <c r="AN33" i="18"/>
  <c r="AN32" i="18" s="1"/>
  <c r="B12" i="18"/>
  <c r="VP17" i="21" s="1"/>
  <c r="VK17" i="21" s="1"/>
  <c r="VJ17" i="21" s="1"/>
  <c r="E12" i="17" s="1"/>
  <c r="B26" i="18"/>
  <c r="VP34" i="21" s="1"/>
  <c r="VK34" i="21" s="1"/>
  <c r="VJ34" i="21" s="1"/>
  <c r="E32" i="17" s="1"/>
  <c r="B8" i="19"/>
  <c r="VD13" i="21" s="1"/>
  <c r="P11" i="17" s="1"/>
  <c r="AN8" i="19"/>
  <c r="AY26" i="19"/>
  <c r="BC41" i="20" s="1"/>
  <c r="BO26" i="19"/>
  <c r="BM12" i="19"/>
  <c r="F14" i="19"/>
  <c r="VH19" i="21" s="1"/>
  <c r="B9" i="19"/>
  <c r="VD14" i="21" s="1"/>
  <c r="P15" i="17" s="1"/>
  <c r="AN9" i="19"/>
  <c r="BM15" i="19"/>
  <c r="F17" i="19"/>
  <c r="VH22" i="21" s="1"/>
  <c r="AB18" i="17" s="1"/>
  <c r="B10" i="19"/>
  <c r="VD15" i="21" s="1"/>
  <c r="P19" i="17" s="1"/>
  <c r="AN10" i="19"/>
  <c r="BM18" i="19"/>
  <c r="AH19" i="19"/>
  <c r="AH21" i="19"/>
  <c r="AH22" i="19"/>
  <c r="BA23" i="19"/>
  <c r="V24" i="19"/>
  <c r="BM24" i="19"/>
  <c r="J26" i="20"/>
  <c r="AB26" i="20"/>
  <c r="AR26" i="20"/>
  <c r="BF26" i="20"/>
  <c r="AG33" i="17"/>
  <c r="AG41" i="17" s="1"/>
  <c r="AE36" i="17"/>
  <c r="J28" i="18"/>
  <c r="Z28" i="18"/>
  <c r="B22" i="18"/>
  <c r="VP27" i="21" s="1"/>
  <c r="VK27" i="21" s="1"/>
  <c r="VJ27" i="21" s="1"/>
  <c r="E25" i="17" s="1"/>
  <c r="B24" i="18"/>
  <c r="VP29" i="21" s="1"/>
  <c r="VK29" i="21" s="1"/>
  <c r="VJ29" i="21" s="1"/>
  <c r="E27" i="17" s="1"/>
  <c r="B25" i="18"/>
  <c r="VP30" i="21" s="1"/>
  <c r="VK30" i="21" s="1"/>
  <c r="VJ30" i="21" s="1"/>
  <c r="E28" i="17" s="1"/>
  <c r="AB8" i="19"/>
  <c r="BG14" i="19"/>
  <c r="AB9" i="19"/>
  <c r="BG17" i="19"/>
  <c r="AB10" i="19"/>
  <c r="V19" i="19"/>
  <c r="P20" i="19"/>
  <c r="F21" i="19"/>
  <c r="VH26" i="21" s="1"/>
  <c r="AB23" i="17" s="1"/>
  <c r="V21" i="19"/>
  <c r="P11" i="19"/>
  <c r="F22" i="19"/>
  <c r="VH27" i="21" s="1"/>
  <c r="AB25" i="17" s="1"/>
  <c r="V22" i="19"/>
  <c r="P23" i="19"/>
  <c r="B24" i="19"/>
  <c r="VD29" i="21" s="1"/>
  <c r="P27" i="17" s="1"/>
  <c r="AT25" i="19"/>
  <c r="BH26" i="20"/>
  <c r="AQ43" i="20"/>
  <c r="P30" i="20"/>
  <c r="P38" i="20" s="1"/>
  <c r="AH30" i="20"/>
  <c r="AH38" i="20" s="1"/>
  <c r="AX30" i="20"/>
  <c r="AX38" i="20" s="1"/>
  <c r="AW33" i="16"/>
  <c r="AW41" i="16" s="1"/>
  <c r="BE33" i="16"/>
  <c r="BE41" i="16" s="1"/>
  <c r="BM33" i="16"/>
  <c r="BM41" i="16" s="1"/>
  <c r="BW33" i="16"/>
  <c r="BW41" i="16" s="1"/>
  <c r="CE33" i="16"/>
  <c r="CE41" i="16" s="1"/>
  <c r="CO33" i="16"/>
  <c r="CO41" i="16" s="1"/>
  <c r="CW33" i="16"/>
  <c r="CW41" i="16" s="1"/>
  <c r="AG40" i="17"/>
  <c r="L12" i="17"/>
  <c r="BD14" i="17"/>
  <c r="L16" i="17"/>
  <c r="BD18" i="17"/>
  <c r="AM20" i="17"/>
  <c r="BD22" i="17"/>
  <c r="I24" i="17"/>
  <c r="AP26" i="17"/>
  <c r="BB28" i="17"/>
  <c r="AK39" i="17"/>
  <c r="B77" i="17"/>
  <c r="B17" i="18"/>
  <c r="VP22" i="21" s="1"/>
  <c r="VK22" i="21" s="1"/>
  <c r="VJ22" i="21" s="1"/>
  <c r="E18" i="17" s="1"/>
  <c r="H31" i="18"/>
  <c r="X31" i="18"/>
  <c r="AN31" i="18"/>
  <c r="L26" i="19"/>
  <c r="AP26" i="19"/>
  <c r="BC26" i="19"/>
  <c r="B12" i="19"/>
  <c r="VD17" i="21" s="1"/>
  <c r="P12" i="17" s="1"/>
  <c r="B15" i="19"/>
  <c r="VD20" i="21" s="1"/>
  <c r="P16" i="17" s="1"/>
  <c r="B18" i="19"/>
  <c r="VD23" i="21" s="1"/>
  <c r="P20" i="17" s="1"/>
  <c r="B21" i="19"/>
  <c r="VD26" i="21" s="1"/>
  <c r="P23" i="17" s="1"/>
  <c r="B22" i="19"/>
  <c r="VD27" i="21" s="1"/>
  <c r="P25" i="17" s="1"/>
  <c r="AH25" i="19"/>
  <c r="BM25" i="19"/>
  <c r="N37" i="20"/>
  <c r="AF37" i="20"/>
  <c r="AV37" i="20"/>
  <c r="P26" i="20"/>
  <c r="AH26" i="20"/>
  <c r="AX26" i="20"/>
  <c r="B11" i="18"/>
  <c r="VP16" i="21" s="1"/>
  <c r="VK16" i="21" s="1"/>
  <c r="VJ16" i="21" s="1"/>
  <c r="E24" i="17" s="1"/>
  <c r="B23" i="18"/>
  <c r="VP28" i="21" s="1"/>
  <c r="VK28" i="21" s="1"/>
  <c r="VJ28" i="21" s="1"/>
  <c r="E26" i="17" s="1"/>
  <c r="B27" i="18"/>
  <c r="VP33" i="21" s="1"/>
  <c r="B13" i="19"/>
  <c r="VD18" i="21" s="1"/>
  <c r="P13" i="17" s="1"/>
  <c r="AN13" i="19"/>
  <c r="BM14" i="19"/>
  <c r="B16" i="19"/>
  <c r="VD21" i="21" s="1"/>
  <c r="P17" i="17" s="1"/>
  <c r="AN16" i="19"/>
  <c r="BM17" i="19"/>
  <c r="AH20" i="19"/>
  <c r="AH11" i="19"/>
  <c r="AH23" i="19"/>
  <c r="P24" i="19"/>
  <c r="B25" i="19"/>
  <c r="VD30" i="21" s="1"/>
  <c r="P28" i="17" s="1"/>
  <c r="R26" i="20"/>
  <c r="AJ26" i="20"/>
  <c r="AZ26" i="20"/>
  <c r="BH40" i="17"/>
  <c r="AP15" i="17"/>
  <c r="BD20" i="17"/>
  <c r="X23" i="17"/>
  <c r="BD24" i="17"/>
  <c r="AY25" i="17"/>
  <c r="BD25" i="17"/>
  <c r="AY26" i="17"/>
  <c r="BC39" i="17"/>
  <c r="R28" i="18"/>
  <c r="AH33" i="18"/>
  <c r="AH32" i="18" s="1"/>
  <c r="N31" i="18"/>
  <c r="AD31" i="18"/>
  <c r="T26" i="19"/>
  <c r="AH41" i="20" s="1"/>
  <c r="BI26" i="19"/>
  <c r="BG12" i="19"/>
  <c r="AB13" i="19"/>
  <c r="BG15" i="19"/>
  <c r="AB16" i="19"/>
  <c r="BG18" i="19"/>
  <c r="P19" i="19"/>
  <c r="F19" i="19"/>
  <c r="VH24" i="21" s="1"/>
  <c r="AB21" i="17" s="1"/>
  <c r="V20" i="19"/>
  <c r="V11" i="19"/>
  <c r="P22" i="19"/>
  <c r="V23" i="19"/>
  <c r="BM23" i="19"/>
  <c r="D37" i="20"/>
  <c r="T37" i="20"/>
  <c r="AL37" i="20"/>
  <c r="BB37" i="20"/>
  <c r="Z30" i="20"/>
  <c r="Z38" i="20" s="1"/>
  <c r="AP30" i="20"/>
  <c r="AP38" i="20" s="1"/>
  <c r="BF30" i="20"/>
  <c r="BF38" i="20" s="1"/>
  <c r="K33" i="20"/>
  <c r="K43" i="20" s="1"/>
  <c r="D26" i="20"/>
  <c r="L26" i="20"/>
  <c r="T26" i="20"/>
  <c r="AD26" i="20"/>
  <c r="AL26" i="20"/>
  <c r="AT26" i="20"/>
  <c r="BB26" i="20"/>
  <c r="H37" i="20"/>
  <c r="P37" i="20"/>
  <c r="Z37" i="20"/>
  <c r="AH37" i="20"/>
  <c r="AP37" i="20"/>
  <c r="AX37" i="20"/>
  <c r="BF37" i="20"/>
  <c r="S33" i="20"/>
  <c r="BC26" i="20"/>
  <c r="E33" i="20"/>
  <c r="E43" i="20" s="1"/>
  <c r="E45" i="20" s="1"/>
  <c r="M33" i="20"/>
  <c r="M43" i="20" s="1"/>
  <c r="AE33" i="20"/>
  <c r="AM33" i="20"/>
  <c r="AM43" i="20" s="1"/>
  <c r="AU33" i="20"/>
  <c r="AU43" i="20" s="1"/>
  <c r="AC36" i="20"/>
  <c r="AK36" i="20"/>
  <c r="BA36" i="20"/>
  <c r="BI36" i="20"/>
  <c r="F26" i="20"/>
  <c r="N26" i="20"/>
  <c r="V26" i="20"/>
  <c r="AF26" i="20"/>
  <c r="AN26" i="20"/>
  <c r="AV26" i="20"/>
  <c r="BD26" i="20"/>
  <c r="J37" i="20"/>
  <c r="R37" i="20"/>
  <c r="AB37" i="20"/>
  <c r="AJ37" i="20"/>
  <c r="AR37" i="20"/>
  <c r="AZ37" i="20"/>
  <c r="BH37" i="20"/>
  <c r="G33" i="20"/>
  <c r="G43" i="20" s="1"/>
  <c r="O33" i="20"/>
  <c r="W33" i="20"/>
  <c r="W43" i="20" s="1"/>
  <c r="AG33" i="20"/>
  <c r="AG43" i="20" s="1"/>
  <c r="AO33" i="20"/>
  <c r="AO43" i="20" s="1"/>
  <c r="AO45" i="20" s="1"/>
  <c r="AW33" i="20"/>
  <c r="AW43" i="20" s="1"/>
  <c r="R30" i="20"/>
  <c r="R38" i="20" s="1"/>
  <c r="F12" i="19"/>
  <c r="VH17" i="21" s="1"/>
  <c r="AB12" i="17" s="1"/>
  <c r="F15" i="19"/>
  <c r="VH20" i="21" s="1"/>
  <c r="AB16" i="17" s="1"/>
  <c r="F18" i="19"/>
  <c r="VH23" i="21" s="1"/>
  <c r="AB20" i="17" s="1"/>
  <c r="F16" i="19"/>
  <c r="VH21" i="21" s="1"/>
  <c r="AB17" i="17" s="1"/>
  <c r="F9" i="19"/>
  <c r="VH14" i="21" s="1"/>
  <c r="AB15" i="17" s="1"/>
  <c r="F10" i="19"/>
  <c r="VH15" i="21" s="1"/>
  <c r="AB19" i="17" s="1"/>
  <c r="J8" i="19"/>
  <c r="J12" i="19"/>
  <c r="J13" i="19"/>
  <c r="J14" i="19"/>
  <c r="J9" i="19"/>
  <c r="J15" i="19"/>
  <c r="J16" i="19"/>
  <c r="J17" i="19"/>
  <c r="J10" i="19"/>
  <c r="J18" i="19"/>
  <c r="I19" i="19"/>
  <c r="BK26" i="19"/>
  <c r="BH41" i="20" s="1"/>
  <c r="B19" i="19"/>
  <c r="BB20" i="19"/>
  <c r="BB21" i="19"/>
  <c r="BB11" i="19"/>
  <c r="BB22" i="19"/>
  <c r="BB23" i="19"/>
  <c r="BB24" i="19"/>
  <c r="BB25" i="19"/>
  <c r="H26" i="19"/>
  <c r="T41" i="20" s="1"/>
  <c r="BG8" i="19"/>
  <c r="J20" i="19"/>
  <c r="J21" i="19"/>
  <c r="J11" i="19"/>
  <c r="J22" i="19"/>
  <c r="J23" i="19"/>
  <c r="J24" i="19"/>
  <c r="J25" i="19"/>
  <c r="Z26" i="19"/>
  <c r="AJ41" i="20" s="1"/>
  <c r="AX26" i="19"/>
  <c r="BB41" i="20" s="1"/>
  <c r="Q8" i="19"/>
  <c r="Q12" i="19"/>
  <c r="Q13" i="19"/>
  <c r="Q14" i="19"/>
  <c r="Q9" i="19"/>
  <c r="Q15" i="19"/>
  <c r="Q16" i="19"/>
  <c r="Q17" i="19"/>
  <c r="Q10" i="19"/>
  <c r="Q18" i="19"/>
  <c r="E18" i="19" s="1"/>
  <c r="VG23" i="21" s="1"/>
  <c r="Z33" i="18"/>
  <c r="Z32" i="18" s="1"/>
  <c r="AH28" i="18"/>
  <c r="D28" i="18"/>
  <c r="L28" i="18"/>
  <c r="T28" i="18"/>
  <c r="AB28" i="18"/>
  <c r="AJ28" i="18"/>
  <c r="D31" i="18"/>
  <c r="D33" i="18"/>
  <c r="D32" i="18" s="1"/>
  <c r="R33" i="18"/>
  <c r="R32" i="18" s="1"/>
  <c r="J33" i="18"/>
  <c r="J32" i="18" s="1"/>
  <c r="F28" i="18"/>
  <c r="N28" i="18"/>
  <c r="V28" i="18"/>
  <c r="AD28" i="18"/>
  <c r="AL28" i="18"/>
  <c r="H28" i="18"/>
  <c r="P28" i="18"/>
  <c r="X28" i="18"/>
  <c r="AF28" i="18"/>
  <c r="AN28" i="18"/>
  <c r="O40" i="17"/>
  <c r="AJ40" i="17"/>
  <c r="M39" i="17"/>
  <c r="M36" i="17"/>
  <c r="BH29" i="17"/>
  <c r="C77" i="17"/>
  <c r="AU40" i="17"/>
  <c r="BE29" i="17"/>
  <c r="BE40" i="17"/>
  <c r="AC39" i="17"/>
  <c r="AQ39" i="17"/>
  <c r="AQ36" i="17"/>
  <c r="I11" i="17"/>
  <c r="R29" i="17"/>
  <c r="R40" i="17"/>
  <c r="AM11" i="17"/>
  <c r="AV29" i="17"/>
  <c r="AV40" i="17"/>
  <c r="BF40" i="17"/>
  <c r="AM12" i="17"/>
  <c r="AM13" i="17"/>
  <c r="AM14" i="17"/>
  <c r="AM15" i="17"/>
  <c r="I16" i="17"/>
  <c r="AM16" i="17"/>
  <c r="AM17" i="17"/>
  <c r="Q29" i="17"/>
  <c r="BG39" i="17"/>
  <c r="BG36" i="17"/>
  <c r="BG37" i="17" s="1"/>
  <c r="U23" i="17"/>
  <c r="S39" i="17"/>
  <c r="S36" i="17"/>
  <c r="Y39" i="17"/>
  <c r="AS40" i="17"/>
  <c r="U11" i="17"/>
  <c r="AY11" i="17"/>
  <c r="AY12" i="17"/>
  <c r="AY13" i="17"/>
  <c r="AY14" i="17"/>
  <c r="U15" i="17"/>
  <c r="AY15" i="17"/>
  <c r="U16" i="17"/>
  <c r="AY16" i="17"/>
  <c r="AY17" i="17"/>
  <c r="U18" i="17"/>
  <c r="AY18" i="17"/>
  <c r="U19" i="17"/>
  <c r="AY19" i="17"/>
  <c r="U20" i="17"/>
  <c r="AY20" i="17"/>
  <c r="AY21" i="17"/>
  <c r="AG29" i="17"/>
  <c r="L11" i="17"/>
  <c r="AP11" i="17"/>
  <c r="BD28" i="17"/>
  <c r="F40" i="17"/>
  <c r="W11" i="17"/>
  <c r="BA11" i="17"/>
  <c r="AJ29" i="17"/>
  <c r="AD40" i="17"/>
  <c r="AM31" i="17"/>
  <c r="AC36" i="17"/>
  <c r="AC37" i="17" s="1"/>
  <c r="AK36" i="17"/>
  <c r="AE41" i="17"/>
  <c r="BC41" i="17"/>
  <c r="G36" i="17"/>
  <c r="AP31" i="17"/>
  <c r="DB40" i="16"/>
  <c r="DB29" i="16"/>
  <c r="P29" i="16"/>
  <c r="Y29" i="16"/>
  <c r="AH29" i="16"/>
  <c r="AQ29" i="16"/>
  <c r="BX29" i="16"/>
  <c r="CW29" i="16"/>
  <c r="Z40" i="16"/>
  <c r="BF40" i="16"/>
  <c r="CN40" i="16"/>
  <c r="CH14" i="16"/>
  <c r="DG14" i="16" s="1"/>
  <c r="F29" i="16"/>
  <c r="Q29" i="16"/>
  <c r="AI29" i="16"/>
  <c r="AR29" i="16"/>
  <c r="BL29" i="16"/>
  <c r="BY29" i="16"/>
  <c r="CM29" i="16"/>
  <c r="AB40" i="16"/>
  <c r="BH40" i="16"/>
  <c r="CP40" i="16"/>
  <c r="CD40" i="16"/>
  <c r="CD29" i="16"/>
  <c r="G29" i="16"/>
  <c r="R29" i="16"/>
  <c r="AA29" i="16"/>
  <c r="AJ29" i="16"/>
  <c r="BM29" i="16"/>
  <c r="BZ29" i="16"/>
  <c r="V33" i="16"/>
  <c r="V41" i="16" s="1"/>
  <c r="CJ33" i="16"/>
  <c r="CJ41" i="16" s="1"/>
  <c r="BN40" i="16"/>
  <c r="BV40" i="16"/>
  <c r="BV29" i="16"/>
  <c r="CI31" i="16"/>
  <c r="CX11" i="16"/>
  <c r="J29" i="16"/>
  <c r="S29" i="16"/>
  <c r="BD29" i="16"/>
  <c r="CO29" i="16"/>
  <c r="DC29" i="16"/>
  <c r="DD33" i="16"/>
  <c r="DD41" i="16" s="1"/>
  <c r="CX31" i="16"/>
  <c r="CX32" i="16"/>
  <c r="BR40" i="16"/>
  <c r="U29" i="16"/>
  <c r="U40" i="16"/>
  <c r="AC29" i="16"/>
  <c r="AC40" i="16"/>
  <c r="AK29" i="16"/>
  <c r="AK40" i="16"/>
  <c r="AS29" i="16"/>
  <c r="AS40" i="16"/>
  <c r="BA29" i="16"/>
  <c r="BA40" i="16"/>
  <c r="BI29" i="16"/>
  <c r="BI40" i="16"/>
  <c r="BS29" i="16"/>
  <c r="BS40" i="16"/>
  <c r="CA29" i="16"/>
  <c r="CA40" i="16"/>
  <c r="CQ29" i="16"/>
  <c r="CQ40" i="16"/>
  <c r="CY11" i="16"/>
  <c r="K29" i="16"/>
  <c r="AV29" i="16"/>
  <c r="BE29" i="16"/>
  <c r="BO29" i="16"/>
  <c r="CE29" i="16"/>
  <c r="DD29" i="16"/>
  <c r="F33" i="16"/>
  <c r="F41" i="16" s="1"/>
  <c r="CV33" i="16"/>
  <c r="CV41" i="16" s="1"/>
  <c r="CH31" i="16"/>
  <c r="CT40" i="16"/>
  <c r="CT29" i="16"/>
  <c r="X29" i="16"/>
  <c r="V40" i="16"/>
  <c r="AD40" i="16"/>
  <c r="AL40" i="16"/>
  <c r="AT40" i="16"/>
  <c r="BB40" i="16"/>
  <c r="BJ40" i="16"/>
  <c r="BT40" i="16"/>
  <c r="CB40" i="16"/>
  <c r="CJ40" i="16"/>
  <c r="CR40" i="16"/>
  <c r="CZ40" i="16"/>
  <c r="V29" i="16"/>
  <c r="AN29" i="16"/>
  <c r="AW29" i="16"/>
  <c r="CF29" i="16"/>
  <c r="CR29" i="16"/>
  <c r="DE29" i="16"/>
  <c r="CL40" i="16"/>
  <c r="CL29" i="16"/>
  <c r="W40" i="16"/>
  <c r="AE40" i="16"/>
  <c r="AM40" i="16"/>
  <c r="AU40" i="16"/>
  <c r="BC40" i="16"/>
  <c r="BK40" i="16"/>
  <c r="BK29" i="16"/>
  <c r="BU40" i="16"/>
  <c r="BU29" i="16"/>
  <c r="CC40" i="16"/>
  <c r="CC29" i="16"/>
  <c r="CS40" i="16"/>
  <c r="CS29" i="16"/>
  <c r="DA40" i="16"/>
  <c r="DA29" i="16"/>
  <c r="W29" i="16"/>
  <c r="AF29" i="16"/>
  <c r="AO29" i="16"/>
  <c r="AX29" i="16"/>
  <c r="BG29" i="16"/>
  <c r="BT29" i="16"/>
  <c r="CG29" i="16"/>
  <c r="CU29" i="16"/>
  <c r="S33" i="16"/>
  <c r="S41" i="16" s="1"/>
  <c r="AA33" i="16"/>
  <c r="AA41" i="16" s="1"/>
  <c r="AI33" i="16"/>
  <c r="AI41" i="16" s="1"/>
  <c r="AQ33" i="16"/>
  <c r="AQ41" i="16" s="1"/>
  <c r="AY33" i="16"/>
  <c r="AY41" i="16" s="1"/>
  <c r="BG33" i="16"/>
  <c r="BG41" i="16" s="1"/>
  <c r="BO33" i="16"/>
  <c r="BO41" i="16" s="1"/>
  <c r="D15" i="12"/>
  <c r="E15" i="12"/>
  <c r="H22" i="11"/>
  <c r="H59" i="11"/>
  <c r="H68" i="11"/>
  <c r="G163" i="11"/>
  <c r="D165" i="11"/>
  <c r="I276" i="11"/>
  <c r="F19" i="11"/>
  <c r="D62" i="11"/>
  <c r="F63" i="11"/>
  <c r="D84" i="11"/>
  <c r="C11" i="7" s="1"/>
  <c r="F11" i="7" s="1"/>
  <c r="E97" i="11"/>
  <c r="G97" i="11" s="1"/>
  <c r="I97" i="11" s="1"/>
  <c r="H95" i="11"/>
  <c r="D117" i="11"/>
  <c r="D262" i="11"/>
  <c r="E551" i="11"/>
  <c r="H551" i="11" s="1"/>
  <c r="G18" i="11"/>
  <c r="H21" i="11"/>
  <c r="F34" i="11"/>
  <c r="F38" i="11"/>
  <c r="G40" i="11"/>
  <c r="G34" i="11" s="1"/>
  <c r="I34" i="11" s="1"/>
  <c r="H52" i="11"/>
  <c r="D61" i="11"/>
  <c r="E77" i="11"/>
  <c r="F80" i="11"/>
  <c r="G95" i="11"/>
  <c r="E127" i="11"/>
  <c r="G178" i="11"/>
  <c r="D180" i="11"/>
  <c r="G181" i="11"/>
  <c r="I181" i="11" s="1"/>
  <c r="D183" i="11"/>
  <c r="H184" i="11"/>
  <c r="E186" i="11"/>
  <c r="H187" i="11"/>
  <c r="E189" i="11"/>
  <c r="H189" i="11" s="1"/>
  <c r="G206" i="11"/>
  <c r="I206" i="11" s="1"/>
  <c r="I212" i="11"/>
  <c r="E233" i="11"/>
  <c r="H233" i="11" s="1"/>
  <c r="H232" i="11"/>
  <c r="F239" i="11"/>
  <c r="F244" i="11"/>
  <c r="G307" i="11"/>
  <c r="F442" i="11"/>
  <c r="H441" i="11"/>
  <c r="E84" i="11"/>
  <c r="H11" i="7" s="1"/>
  <c r="E139" i="11"/>
  <c r="H6" i="7" s="1"/>
  <c r="H163" i="11"/>
  <c r="F165" i="11"/>
  <c r="E14" i="11"/>
  <c r="G38" i="11"/>
  <c r="G56" i="11"/>
  <c r="I56" i="11" s="1"/>
  <c r="I58" i="11"/>
  <c r="G65" i="11"/>
  <c r="I65" i="11" s="1"/>
  <c r="H122" i="11"/>
  <c r="G122" i="11"/>
  <c r="I122" i="11" s="1"/>
  <c r="E124" i="11"/>
  <c r="E115" i="11"/>
  <c r="G137" i="11"/>
  <c r="I137" i="11" s="1"/>
  <c r="F224" i="11"/>
  <c r="D252" i="11"/>
  <c r="E349" i="11"/>
  <c r="H349" i="11" s="1"/>
  <c r="H348" i="11"/>
  <c r="G348" i="11"/>
  <c r="I348" i="11" s="1"/>
  <c r="E337" i="11"/>
  <c r="G21" i="11"/>
  <c r="H250" i="11"/>
  <c r="E55" i="11"/>
  <c r="H56" i="11"/>
  <c r="H65" i="11"/>
  <c r="D94" i="11"/>
  <c r="J92" i="11"/>
  <c r="D210" i="11"/>
  <c r="G210" i="11" s="1"/>
  <c r="I210" i="11" s="1"/>
  <c r="G207" i="11"/>
  <c r="I207" i="11" s="1"/>
  <c r="D198" i="11"/>
  <c r="D201" i="11" s="1"/>
  <c r="G232" i="11"/>
  <c r="I232" i="11" s="1"/>
  <c r="H242" i="11"/>
  <c r="G247" i="11"/>
  <c r="I247" i="11" s="1"/>
  <c r="I245" i="11"/>
  <c r="G265" i="11"/>
  <c r="I264" i="11"/>
  <c r="G304" i="11"/>
  <c r="I304" i="11" s="1"/>
  <c r="G395" i="11"/>
  <c r="I395" i="11" s="1"/>
  <c r="I394" i="11"/>
  <c r="E339" i="11"/>
  <c r="H339" i="11" s="1"/>
  <c r="H367" i="11"/>
  <c r="G367" i="11"/>
  <c r="I367" i="11" s="1"/>
  <c r="F10" i="11"/>
  <c r="J18" i="11"/>
  <c r="I49" i="11"/>
  <c r="D68" i="11"/>
  <c r="H94" i="11"/>
  <c r="H140" i="11"/>
  <c r="J178" i="11"/>
  <c r="E214" i="11"/>
  <c r="H211" i="11"/>
  <c r="G211" i="11"/>
  <c r="G222" i="11"/>
  <c r="I222" i="11" s="1"/>
  <c r="H223" i="11"/>
  <c r="G227" i="11"/>
  <c r="I227" i="11" s="1"/>
  <c r="I226" i="11"/>
  <c r="H14" i="11"/>
  <c r="G81" i="11"/>
  <c r="I81" i="11" s="1"/>
  <c r="H128" i="11"/>
  <c r="F210" i="11"/>
  <c r="H207" i="11"/>
  <c r="G460" i="11"/>
  <c r="I460" i="11" s="1"/>
  <c r="I464" i="11"/>
  <c r="F154" i="11"/>
  <c r="H203" i="11"/>
  <c r="F218" i="11"/>
  <c r="H287" i="11"/>
  <c r="D534" i="11"/>
  <c r="H303" i="11"/>
  <c r="H306" i="11"/>
  <c r="D319" i="11"/>
  <c r="G319" i="11" s="1"/>
  <c r="I319" i="11" s="1"/>
  <c r="G318" i="11"/>
  <c r="I318" i="11" s="1"/>
  <c r="E392" i="11"/>
  <c r="H392" i="11" s="1"/>
  <c r="G391" i="11"/>
  <c r="F395" i="11"/>
  <c r="H394" i="11"/>
  <c r="E409" i="11"/>
  <c r="G408" i="11"/>
  <c r="I408" i="11" s="1"/>
  <c r="F412" i="11"/>
  <c r="H412" i="11" s="1"/>
  <c r="H411" i="11"/>
  <c r="H445" i="11"/>
  <c r="F504" i="11"/>
  <c r="H503" i="11"/>
  <c r="D498" i="11"/>
  <c r="C25" i="6"/>
  <c r="F25" i="6" s="1"/>
  <c r="H125" i="11"/>
  <c r="H137" i="11"/>
  <c r="D186" i="11"/>
  <c r="C14" i="7" s="1"/>
  <c r="F14" i="7" s="1"/>
  <c r="I216" i="11"/>
  <c r="E227" i="11"/>
  <c r="E290" i="11"/>
  <c r="G290" i="11" s="1"/>
  <c r="D316" i="11"/>
  <c r="G316" i="11" s="1"/>
  <c r="I316" i="11" s="1"/>
  <c r="F328" i="11"/>
  <c r="H328" i="11" s="1"/>
  <c r="H327" i="11"/>
  <c r="I345" i="11"/>
  <c r="H354" i="11"/>
  <c r="I435" i="11"/>
  <c r="G436" i="11"/>
  <c r="I436" i="11" s="1"/>
  <c r="I455" i="11"/>
  <c r="G184" i="11"/>
  <c r="I184" i="11" s="1"/>
  <c r="F265" i="11"/>
  <c r="G267" i="11"/>
  <c r="I267" i="11" s="1"/>
  <c r="F277" i="11"/>
  <c r="E358" i="11"/>
  <c r="G355" i="11"/>
  <c r="I355" i="11" s="1"/>
  <c r="D371" i="11"/>
  <c r="F407" i="11"/>
  <c r="H407" i="11" s="1"/>
  <c r="H404" i="11"/>
  <c r="H430" i="11"/>
  <c r="E499" i="11"/>
  <c r="G510" i="11"/>
  <c r="F183" i="11"/>
  <c r="I12" i="7" s="1"/>
  <c r="G12" i="7" s="1"/>
  <c r="E247" i="11"/>
  <c r="H316" i="11"/>
  <c r="H334" i="11"/>
  <c r="H355" i="11"/>
  <c r="G388" i="11"/>
  <c r="I388" i="11" s="1"/>
  <c r="I399" i="11"/>
  <c r="F552" i="11"/>
  <c r="E475" i="11"/>
  <c r="G474" i="11"/>
  <c r="H478" i="11"/>
  <c r="H510" i="11"/>
  <c r="F121" i="11"/>
  <c r="D177" i="11"/>
  <c r="C21" i="6" s="1"/>
  <c r="F21" i="6" s="1"/>
  <c r="H178" i="11"/>
  <c r="D387" i="11"/>
  <c r="D389" i="11" s="1"/>
  <c r="I471" i="11"/>
  <c r="G472" i="11"/>
  <c r="I472" i="11" s="1"/>
  <c r="E487" i="11"/>
  <c r="H486" i="11"/>
  <c r="G486" i="11"/>
  <c r="I486" i="11" s="1"/>
  <c r="H119" i="11"/>
  <c r="G147" i="11"/>
  <c r="G295" i="11"/>
  <c r="H307" i="11"/>
  <c r="D338" i="11"/>
  <c r="D340" i="11" s="1"/>
  <c r="G343" i="11"/>
  <c r="I343" i="11" s="1"/>
  <c r="E363" i="11"/>
  <c r="G363" i="11" s="1"/>
  <c r="I363" i="11" s="1"/>
  <c r="H362" i="11"/>
  <c r="G362" i="11"/>
  <c r="I362" i="11" s="1"/>
  <c r="H415" i="11"/>
  <c r="I432" i="11"/>
  <c r="G327" i="11"/>
  <c r="I327" i="11" s="1"/>
  <c r="F346" i="11"/>
  <c r="H351" i="11"/>
  <c r="E403" i="11"/>
  <c r="G404" i="11"/>
  <c r="I404" i="11" s="1"/>
  <c r="G411" i="11"/>
  <c r="I411" i="11" s="1"/>
  <c r="E421" i="11"/>
  <c r="G421" i="11" s="1"/>
  <c r="I421" i="11" s="1"/>
  <c r="G441" i="11"/>
  <c r="H444" i="11"/>
  <c r="H451" i="11"/>
  <c r="H455" i="11"/>
  <c r="H464" i="11"/>
  <c r="E472" i="11"/>
  <c r="G333" i="11"/>
  <c r="G551" i="11" s="1"/>
  <c r="I551" i="11" s="1"/>
  <c r="F343" i="11"/>
  <c r="H343" i="11" s="1"/>
  <c r="F381" i="11"/>
  <c r="F553" i="11" s="1"/>
  <c r="F403" i="11"/>
  <c r="E418" i="11"/>
  <c r="H418" i="11" s="1"/>
  <c r="E433" i="11"/>
  <c r="H433" i="11" s="1"/>
  <c r="F436" i="11"/>
  <c r="E329" i="11"/>
  <c r="G329" i="11" s="1"/>
  <c r="I329" i="11" s="1"/>
  <c r="H333" i="11"/>
  <c r="E366" i="11"/>
  <c r="G366" i="11" s="1"/>
  <c r="I366" i="11" s="1"/>
  <c r="E380" i="11"/>
  <c r="G380" i="11" s="1"/>
  <c r="I380" i="11" s="1"/>
  <c r="E398" i="11"/>
  <c r="G398" i="11" s="1"/>
  <c r="I398" i="11" s="1"/>
  <c r="G438" i="11"/>
  <c r="H457" i="11"/>
  <c r="H463" i="11"/>
  <c r="G488" i="11"/>
  <c r="G420" i="11"/>
  <c r="I420" i="11" s="1"/>
  <c r="E456" i="11"/>
  <c r="G456" i="11" s="1"/>
  <c r="I457" i="11"/>
  <c r="D552" i="11"/>
  <c r="G12" i="10"/>
  <c r="I11" i="10"/>
  <c r="H8" i="10"/>
  <c r="I8" i="10"/>
  <c r="F8" i="9"/>
  <c r="G10" i="9"/>
  <c r="F14" i="9"/>
  <c r="G16" i="9"/>
  <c r="I27" i="9"/>
  <c r="H45" i="9"/>
  <c r="G22" i="9"/>
  <c r="I22" i="9" s="1"/>
  <c r="G29" i="9"/>
  <c r="G36" i="9"/>
  <c r="F32" i="8"/>
  <c r="F6" i="7"/>
  <c r="BJ28" i="5"/>
  <c r="Z28" i="5"/>
  <c r="JN10" i="5"/>
  <c r="JN28" i="5" s="1"/>
  <c r="KP28" i="5"/>
  <c r="LA28" i="5"/>
  <c r="HB11" i="5"/>
  <c r="HB12" i="5"/>
  <c r="HB13" i="5"/>
  <c r="HN18" i="5"/>
  <c r="DA28" i="5"/>
  <c r="KQ10" i="5"/>
  <c r="DC16" i="5"/>
  <c r="BV10" i="5"/>
  <c r="BV28" i="5" s="1"/>
  <c r="DN10" i="5"/>
  <c r="DN28" i="5" s="1"/>
  <c r="JD28" i="5"/>
  <c r="DC10" i="5"/>
  <c r="GH10" i="5"/>
  <c r="GH28" i="5" s="1"/>
  <c r="HF10" i="5"/>
  <c r="HF28" i="5" s="1"/>
  <c r="IJ28" i="5"/>
  <c r="IJ35" i="5" s="1"/>
  <c r="IT10" i="5"/>
  <c r="IT28" i="5" s="1"/>
  <c r="JR10" i="5"/>
  <c r="JR28" i="5" s="1"/>
  <c r="KH28" i="5"/>
  <c r="KS28" i="5"/>
  <c r="LC28" i="5"/>
  <c r="LC35" i="5" s="1"/>
  <c r="KD10" i="5"/>
  <c r="KD28" i="5" s="1"/>
  <c r="AW28" i="5"/>
  <c r="GS28" i="5"/>
  <c r="BZ10" i="5"/>
  <c r="BZ28" i="5" s="1"/>
  <c r="BM28" i="5"/>
  <c r="CS28" i="5"/>
  <c r="KQ15" i="5"/>
  <c r="HR17" i="5"/>
  <c r="R17" i="5" s="1"/>
  <c r="G17" i="5" s="1"/>
  <c r="KQ17" i="5"/>
  <c r="DC18" i="5"/>
  <c r="CL10" i="5"/>
  <c r="CL28" i="5" s="1"/>
  <c r="BI28" i="5"/>
  <c r="HR10" i="5"/>
  <c r="DR10" i="5"/>
  <c r="DR28" i="5" s="1"/>
  <c r="BB28" i="5"/>
  <c r="BN10" i="5"/>
  <c r="BN28" i="5" s="1"/>
  <c r="CT10" i="5"/>
  <c r="CT28" i="5" s="1"/>
  <c r="DV10" i="5"/>
  <c r="DV28" i="5" s="1"/>
  <c r="GV28" i="5"/>
  <c r="GV35" i="5" s="1"/>
  <c r="HJ10" i="5"/>
  <c r="HJ28" i="5" s="1"/>
  <c r="IX10" i="5"/>
  <c r="IX28" i="5" s="1"/>
  <c r="IX35" i="5" s="1"/>
  <c r="JV28" i="5"/>
  <c r="KK28" i="5"/>
  <c r="KU10" i="5"/>
  <c r="AT28" i="5"/>
  <c r="FT28" i="5"/>
  <c r="FT35" i="5" s="1"/>
  <c r="GE10" i="5"/>
  <c r="GE28" i="5" s="1"/>
  <c r="IQ10" i="5"/>
  <c r="AB28" i="5"/>
  <c r="CP10" i="5"/>
  <c r="CP28" i="5" s="1"/>
  <c r="EH10" i="5"/>
  <c r="EH28" i="5" s="1"/>
  <c r="BA28" i="5"/>
  <c r="V28" i="5"/>
  <c r="CD10" i="5"/>
  <c r="CD28" i="5" s="1"/>
  <c r="DF10" i="5"/>
  <c r="DF28" i="5" s="1"/>
  <c r="EN10" i="5"/>
  <c r="EN28" i="5" s="1"/>
  <c r="EN35" i="5" s="1"/>
  <c r="GL10" i="5"/>
  <c r="GL28" i="5" s="1"/>
  <c r="HV10" i="5"/>
  <c r="HV28" i="5" s="1"/>
  <c r="W28" i="5"/>
  <c r="BD28" i="5"/>
  <c r="BD35" i="5" s="1"/>
  <c r="CG28" i="5"/>
  <c r="DI28" i="5"/>
  <c r="DY28" i="5"/>
  <c r="EO28" i="5"/>
  <c r="FQ28" i="5"/>
  <c r="FY28" i="5"/>
  <c r="GO28" i="5"/>
  <c r="IM10" i="5"/>
  <c r="CY16" i="5"/>
  <c r="HN16" i="5"/>
  <c r="DC17" i="5"/>
  <c r="S17" i="5" s="1"/>
  <c r="H17" i="5" s="1"/>
  <c r="KQ19" i="5"/>
  <c r="CY20" i="5"/>
  <c r="BH28" i="5"/>
  <c r="BH35" i="5" s="1"/>
  <c r="EW28" i="5"/>
  <c r="HB10" i="5"/>
  <c r="X28" i="5"/>
  <c r="BE28" i="5"/>
  <c r="CH28" i="5"/>
  <c r="CX28" i="5"/>
  <c r="DJ28" i="5"/>
  <c r="DZ28" i="5"/>
  <c r="ER28" i="5"/>
  <c r="ER35" i="5" s="1"/>
  <c r="FR28" i="5"/>
  <c r="GA28" i="5"/>
  <c r="HN10" i="5"/>
  <c r="KM28" i="5"/>
  <c r="KM35" i="5" s="1"/>
  <c r="DC19" i="5"/>
  <c r="KQ20" i="5"/>
  <c r="IQ22" i="5"/>
  <c r="DC23" i="5"/>
  <c r="HR23" i="5"/>
  <c r="R23" i="5" s="1"/>
  <c r="G23" i="5" s="1"/>
  <c r="CL30" i="5"/>
  <c r="CL32" i="5" s="1"/>
  <c r="CK32" i="5"/>
  <c r="HI32" i="5"/>
  <c r="HJ30" i="5"/>
  <c r="HJ32" i="5" s="1"/>
  <c r="DC22" i="5"/>
  <c r="HR22" i="5"/>
  <c r="R22" i="5" s="1"/>
  <c r="G22" i="5" s="1"/>
  <c r="KQ23" i="5"/>
  <c r="DC21" i="5"/>
  <c r="S21" i="5" s="1"/>
  <c r="H21" i="5" s="1"/>
  <c r="KQ22" i="5"/>
  <c r="KQ26" i="5"/>
  <c r="DC27" i="5"/>
  <c r="JW35" i="5"/>
  <c r="CY23" i="5"/>
  <c r="DC24" i="5"/>
  <c r="S24" i="5" s="1"/>
  <c r="H24" i="5" s="1"/>
  <c r="KQ21" i="5"/>
  <c r="KQ24" i="5"/>
  <c r="HH35" i="5"/>
  <c r="AO32" i="5"/>
  <c r="AP30" i="5"/>
  <c r="AP32" i="5" s="1"/>
  <c r="FM32" i="5"/>
  <c r="FN30" i="5"/>
  <c r="FN32" i="5" s="1"/>
  <c r="FN35" i="5" s="1"/>
  <c r="JV32" i="5"/>
  <c r="AS32" i="5"/>
  <c r="AT30" i="5"/>
  <c r="AT32" i="5" s="1"/>
  <c r="DQ32" i="5"/>
  <c r="DR30" i="5"/>
  <c r="DR32" i="5" s="1"/>
  <c r="IO32" i="5"/>
  <c r="IP30" i="5"/>
  <c r="IP32" i="5" s="1"/>
  <c r="BU32" i="5"/>
  <c r="BV30" i="5"/>
  <c r="BV32" i="5" s="1"/>
  <c r="GS32" i="5"/>
  <c r="GT30" i="5"/>
  <c r="GT32" i="5" s="1"/>
  <c r="GT35" i="5" s="1"/>
  <c r="KC32" i="5"/>
  <c r="KD30" i="5"/>
  <c r="KD32" i="5" s="1"/>
  <c r="JJ31" i="5"/>
  <c r="JJ32" i="5" s="1"/>
  <c r="AN35" i="5"/>
  <c r="DA32" i="5"/>
  <c r="DB30" i="5"/>
  <c r="DB32" i="5" s="1"/>
  <c r="HY32" i="5"/>
  <c r="HZ30" i="5"/>
  <c r="HZ32" i="5" s="1"/>
  <c r="BE32" i="5"/>
  <c r="BF30" i="5"/>
  <c r="BF32" i="5" s="1"/>
  <c r="BF35" i="5" s="1"/>
  <c r="GC32" i="5"/>
  <c r="GE30" i="5"/>
  <c r="GE32" i="5" s="1"/>
  <c r="EG32" i="5"/>
  <c r="EH30" i="5"/>
  <c r="EH32" i="5" s="1"/>
  <c r="IH32" i="5"/>
  <c r="IH35" i="5" s="1"/>
  <c r="JM32" i="5"/>
  <c r="JN30" i="5"/>
  <c r="JN32" i="5" s="1"/>
  <c r="BM32" i="5"/>
  <c r="DY32" i="5"/>
  <c r="KK32" i="5"/>
  <c r="GK32" i="5"/>
  <c r="IW32" i="5"/>
  <c r="BZ30" i="5"/>
  <c r="BZ32" i="5" s="1"/>
  <c r="DF30" i="5"/>
  <c r="DF32" i="5" s="1"/>
  <c r="FR30" i="5"/>
  <c r="FR32" i="5" s="1"/>
  <c r="GX30" i="5"/>
  <c r="GX32" i="5" s="1"/>
  <c r="ID30" i="5"/>
  <c r="ID32" i="5" s="1"/>
  <c r="ID35" i="5" s="1"/>
  <c r="JR30" i="5"/>
  <c r="JR32" i="5" s="1"/>
  <c r="KH30" i="5"/>
  <c r="KH32" i="5" s="1"/>
  <c r="KU30" i="5"/>
  <c r="HA32" i="5"/>
  <c r="CT30" i="5"/>
  <c r="CT32" i="5" s="1"/>
  <c r="DJ30" i="5"/>
  <c r="DJ32" i="5" s="1"/>
  <c r="FF30" i="5"/>
  <c r="FF32" i="5" s="1"/>
  <c r="HR30" i="5"/>
  <c r="HR32" i="5" s="1"/>
  <c r="JH32" i="5"/>
  <c r="KX30" i="5"/>
  <c r="KX32" i="5" s="1"/>
  <c r="HE32" i="5"/>
  <c r="HU32" i="5"/>
  <c r="IK32" i="5"/>
  <c r="JA32" i="5"/>
  <c r="JI32" i="5"/>
  <c r="HF32" i="5"/>
  <c r="HV32" i="5"/>
  <c r="IL32" i="5"/>
  <c r="BR32" i="5" l="1"/>
  <c r="E21" i="19"/>
  <c r="VG26" i="21" s="1"/>
  <c r="N24" i="5"/>
  <c r="C24" i="5" s="1"/>
  <c r="AZ27" i="17"/>
  <c r="Q15" i="5"/>
  <c r="F532" i="11"/>
  <c r="F534" i="11"/>
  <c r="F34" i="3"/>
  <c r="I29" i="9"/>
  <c r="F170" i="11"/>
  <c r="F173" i="11" s="1"/>
  <c r="I20" i="6" s="1"/>
  <c r="G20" i="6" s="1"/>
  <c r="N17" i="5"/>
  <c r="C17" i="5" s="1"/>
  <c r="E12" i="19"/>
  <c r="VG17" i="21" s="1"/>
  <c r="M26" i="5"/>
  <c r="K26" i="5" s="1"/>
  <c r="HR19" i="5"/>
  <c r="R19" i="5" s="1"/>
  <c r="G19" i="5" s="1"/>
  <c r="E16" i="19"/>
  <c r="VG21" i="21" s="1"/>
  <c r="E20" i="19"/>
  <c r="VG25" i="21" s="1"/>
  <c r="HR18" i="5"/>
  <c r="R18" i="5" s="1"/>
  <c r="G18" i="5" s="1"/>
  <c r="N11" i="5"/>
  <c r="C11" i="5" s="1"/>
  <c r="N26" i="5"/>
  <c r="C26" i="5" s="1"/>
  <c r="BQ32" i="5"/>
  <c r="M21" i="5"/>
  <c r="K21" i="5" s="1"/>
  <c r="AZ28" i="17"/>
  <c r="N18" i="5"/>
  <c r="C18" i="5" s="1"/>
  <c r="N21" i="5"/>
  <c r="C21" i="5" s="1"/>
  <c r="E532" i="11"/>
  <c r="Q21" i="5"/>
  <c r="L21" i="5" s="1"/>
  <c r="G294" i="11"/>
  <c r="E534" i="11"/>
  <c r="I307" i="11"/>
  <c r="M22" i="5"/>
  <c r="K22" i="5" s="1"/>
  <c r="Q17" i="5"/>
  <c r="L17" i="5" s="1"/>
  <c r="N15" i="5"/>
  <c r="C15" i="5" s="1"/>
  <c r="M24" i="5"/>
  <c r="K24" i="5" s="1"/>
  <c r="E533" i="11"/>
  <c r="AS26" i="20"/>
  <c r="BE26" i="20"/>
  <c r="AZ22" i="17"/>
  <c r="HQ28" i="5"/>
  <c r="HQ35" i="5" s="1"/>
  <c r="G84" i="11"/>
  <c r="I84" i="11" s="1"/>
  <c r="M19" i="5"/>
  <c r="K19" i="5" s="1"/>
  <c r="E13" i="19"/>
  <c r="VG18" i="21" s="1"/>
  <c r="M18" i="5"/>
  <c r="K18" i="5" s="1"/>
  <c r="N12" i="5"/>
  <c r="C12" i="5" s="1"/>
  <c r="N25" i="5"/>
  <c r="C25" i="5" s="1"/>
  <c r="M12" i="5"/>
  <c r="K12" i="5" s="1"/>
  <c r="BQ28" i="5"/>
  <c r="Q25" i="5"/>
  <c r="L25" i="5" s="1"/>
  <c r="HR25" i="5"/>
  <c r="R25" i="5" s="1"/>
  <c r="G25" i="5" s="1"/>
  <c r="M27" i="5"/>
  <c r="K27" i="5" s="1"/>
  <c r="N27" i="5"/>
  <c r="C27" i="5" s="1"/>
  <c r="N14" i="5"/>
  <c r="C14" i="5" s="1"/>
  <c r="N13" i="5"/>
  <c r="C13" i="5" s="1"/>
  <c r="N20" i="5"/>
  <c r="C20" i="5" s="1"/>
  <c r="M23" i="5"/>
  <c r="K23" i="5" s="1"/>
  <c r="M20" i="5"/>
  <c r="K20" i="5" s="1"/>
  <c r="E25" i="19"/>
  <c r="VG30" i="21" s="1"/>
  <c r="I40" i="9"/>
  <c r="S15" i="5"/>
  <c r="H15" i="5" s="1"/>
  <c r="F15" i="5" s="1"/>
  <c r="S20" i="5"/>
  <c r="H20" i="5" s="1"/>
  <c r="F20" i="5" s="1"/>
  <c r="S19" i="5"/>
  <c r="H19" i="5" s="1"/>
  <c r="M25" i="5"/>
  <c r="K25" i="5" s="1"/>
  <c r="M11" i="5"/>
  <c r="K11" i="5" s="1"/>
  <c r="M16" i="5"/>
  <c r="K16" i="5" s="1"/>
  <c r="M17" i="5"/>
  <c r="K17" i="5" s="1"/>
  <c r="M14" i="5"/>
  <c r="K14" i="5" s="1"/>
  <c r="M13" i="5"/>
  <c r="K13" i="5" s="1"/>
  <c r="R24" i="5"/>
  <c r="G24" i="5" s="1"/>
  <c r="FF35" i="5"/>
  <c r="JB35" i="5"/>
  <c r="S18" i="5"/>
  <c r="H18" i="5" s="1"/>
  <c r="R13" i="5"/>
  <c r="G13" i="5" s="1"/>
  <c r="R31" i="5"/>
  <c r="G31" i="5" s="1"/>
  <c r="R12" i="5"/>
  <c r="G12" i="5" s="1"/>
  <c r="R11" i="5"/>
  <c r="G11" i="5" s="1"/>
  <c r="S23" i="5"/>
  <c r="H23" i="5" s="1"/>
  <c r="F23" i="5" s="1"/>
  <c r="S13" i="5"/>
  <c r="H13" i="5" s="1"/>
  <c r="S22" i="5"/>
  <c r="H22" i="5" s="1"/>
  <c r="F22" i="5" s="1"/>
  <c r="AO13" i="21"/>
  <c r="AH11" i="17" s="1"/>
  <c r="BC39" i="16"/>
  <c r="F229" i="11"/>
  <c r="F230" i="11" s="1"/>
  <c r="F199" i="11" s="1"/>
  <c r="S11" i="5"/>
  <c r="H11" i="5" s="1"/>
  <c r="Y32" i="5"/>
  <c r="S25" i="5"/>
  <c r="H25" i="5" s="1"/>
  <c r="JD35" i="5"/>
  <c r="S27" i="5"/>
  <c r="H27" i="5" s="1"/>
  <c r="S30" i="5"/>
  <c r="H30" i="5" s="1"/>
  <c r="H32" i="5" s="1"/>
  <c r="S12" i="5"/>
  <c r="H12" i="5" s="1"/>
  <c r="CC32" i="5"/>
  <c r="GK35" i="5"/>
  <c r="S16" i="5"/>
  <c r="H16" i="5" s="1"/>
  <c r="F16" i="5" s="1"/>
  <c r="FE35" i="5"/>
  <c r="S26" i="5"/>
  <c r="H26" i="5" s="1"/>
  <c r="F26" i="5" s="1"/>
  <c r="C32" i="8"/>
  <c r="C33" i="8" s="1"/>
  <c r="I95" i="11"/>
  <c r="E10" i="19"/>
  <c r="VG15" i="21" s="1"/>
  <c r="N22" i="5"/>
  <c r="C22" i="5" s="1"/>
  <c r="E22" i="19"/>
  <c r="VG27" i="21" s="1"/>
  <c r="H180" i="11"/>
  <c r="C9" i="20"/>
  <c r="VC14" i="21" s="1"/>
  <c r="AO14" i="21" s="1"/>
  <c r="AE43" i="20"/>
  <c r="AE45" i="20" s="1"/>
  <c r="AB33" i="20"/>
  <c r="AB43" i="20" s="1"/>
  <c r="E174" i="11" s="1"/>
  <c r="G174" i="11" s="1"/>
  <c r="G177" i="11" s="1"/>
  <c r="N19" i="5"/>
  <c r="C19" i="5" s="1"/>
  <c r="BA20" i="17"/>
  <c r="BH33" i="20"/>
  <c r="BH43" i="20" s="1"/>
  <c r="E30" i="11" s="1"/>
  <c r="O16" i="5"/>
  <c r="D16" i="5" s="1"/>
  <c r="E23" i="19"/>
  <c r="VG28" i="21" s="1"/>
  <c r="F494" i="11"/>
  <c r="F495" i="11" s="1"/>
  <c r="F491" i="11" s="1"/>
  <c r="O30" i="5"/>
  <c r="D30" i="5" s="1"/>
  <c r="D32" i="5" s="1"/>
  <c r="E11" i="19"/>
  <c r="VG16" i="21" s="1"/>
  <c r="E24" i="19"/>
  <c r="VG29" i="21" s="1"/>
  <c r="D501" i="11"/>
  <c r="C21" i="20"/>
  <c r="VC26" i="21" s="1"/>
  <c r="AO26" i="21" s="1"/>
  <c r="AH23" i="17" s="1"/>
  <c r="AU39" i="21"/>
  <c r="F30" i="11"/>
  <c r="F31" i="11" s="1"/>
  <c r="U30" i="20"/>
  <c r="U38" i="20" s="1"/>
  <c r="N23" i="5"/>
  <c r="C23" i="5" s="1"/>
  <c r="S14" i="5"/>
  <c r="H14" i="5" s="1"/>
  <c r="F14" i="5" s="1"/>
  <c r="R27" i="5"/>
  <c r="G27" i="5" s="1"/>
  <c r="Y28" i="5"/>
  <c r="S10" i="5"/>
  <c r="H10" i="5" s="1"/>
  <c r="I28" i="5"/>
  <c r="I35" i="5" s="1"/>
  <c r="Q23" i="5"/>
  <c r="L23" i="5" s="1"/>
  <c r="O20" i="5"/>
  <c r="D20" i="5" s="1"/>
  <c r="R10" i="5"/>
  <c r="G10" i="5" s="1"/>
  <c r="O12" i="5"/>
  <c r="D12" i="5" s="1"/>
  <c r="Q30" i="5"/>
  <c r="L30" i="5" s="1"/>
  <c r="Q31" i="5"/>
  <c r="L31" i="5" s="1"/>
  <c r="AZ23" i="17"/>
  <c r="Q24" i="5"/>
  <c r="L24" i="5" s="1"/>
  <c r="Q27" i="5"/>
  <c r="O14" i="5"/>
  <c r="D14" i="5" s="1"/>
  <c r="I163" i="11"/>
  <c r="I155" i="11"/>
  <c r="N16" i="5"/>
  <c r="C16" i="5" s="1"/>
  <c r="O11" i="5"/>
  <c r="D11" i="5" s="1"/>
  <c r="O24" i="5"/>
  <c r="D24" i="5" s="1"/>
  <c r="B24" i="5" s="1"/>
  <c r="O27" i="5"/>
  <c r="D27" i="5" s="1"/>
  <c r="O26" i="5"/>
  <c r="D26" i="5" s="1"/>
  <c r="O21" i="5"/>
  <c r="D21" i="5" s="1"/>
  <c r="O22" i="5"/>
  <c r="D22" i="5" s="1"/>
  <c r="O25" i="5"/>
  <c r="D25" i="5" s="1"/>
  <c r="O19" i="5"/>
  <c r="D19" i="5" s="1"/>
  <c r="O13" i="5"/>
  <c r="D13" i="5" s="1"/>
  <c r="O18" i="5"/>
  <c r="D18" i="5" s="1"/>
  <c r="O10" i="5"/>
  <c r="D10" i="5" s="1"/>
  <c r="O17" i="5"/>
  <c r="D17" i="5" s="1"/>
  <c r="B17" i="5" s="1"/>
  <c r="O23" i="5"/>
  <c r="D23" i="5" s="1"/>
  <c r="O15" i="5"/>
  <c r="D15" i="5" s="1"/>
  <c r="V31" i="5"/>
  <c r="N31" i="5" s="1"/>
  <c r="C31" i="5" s="1"/>
  <c r="B31" i="5" s="1"/>
  <c r="M31" i="5"/>
  <c r="K31" i="5" s="1"/>
  <c r="U32" i="5"/>
  <c r="M30" i="5"/>
  <c r="K30" i="5" s="1"/>
  <c r="P10" i="5"/>
  <c r="E10" i="5" s="1"/>
  <c r="E28" i="5" s="1"/>
  <c r="I119" i="11"/>
  <c r="G543" i="11"/>
  <c r="M10" i="5"/>
  <c r="HA35" i="5"/>
  <c r="G180" i="11"/>
  <c r="I180" i="11" s="1"/>
  <c r="C12" i="7"/>
  <c r="F12" i="7" s="1"/>
  <c r="G68" i="11"/>
  <c r="I68" i="11" s="1"/>
  <c r="C22" i="6"/>
  <c r="F22" i="6" s="1"/>
  <c r="C11" i="6"/>
  <c r="H366" i="11"/>
  <c r="G94" i="11"/>
  <c r="I94" i="11" s="1"/>
  <c r="C13" i="7"/>
  <c r="D517" i="11"/>
  <c r="D547" i="11" s="1"/>
  <c r="G261" i="11"/>
  <c r="I261" i="11" s="1"/>
  <c r="D134" i="11"/>
  <c r="C7" i="7"/>
  <c r="DI35" i="5"/>
  <c r="E33" i="16"/>
  <c r="E41" i="16" s="1"/>
  <c r="BA16" i="17"/>
  <c r="BA21" i="17"/>
  <c r="BA17" i="17"/>
  <c r="BA13" i="17"/>
  <c r="AR22" i="17"/>
  <c r="BA18" i="17"/>
  <c r="BA26" i="17"/>
  <c r="BA12" i="17"/>
  <c r="BA14" i="17"/>
  <c r="BA27" i="17"/>
  <c r="AX27" i="17" s="1"/>
  <c r="BA28" i="17"/>
  <c r="AX28" i="17" s="1"/>
  <c r="C23" i="20"/>
  <c r="VC28" i="21" s="1"/>
  <c r="AO28" i="21" s="1"/>
  <c r="AH26" i="17" s="1"/>
  <c r="C28" i="20"/>
  <c r="C24" i="20"/>
  <c r="VC29" i="21" s="1"/>
  <c r="AO29" i="21" s="1"/>
  <c r="AH27" i="17" s="1"/>
  <c r="C29" i="20"/>
  <c r="VC34" i="21" s="1"/>
  <c r="AO34" i="21" s="1"/>
  <c r="C15" i="20"/>
  <c r="VC20" i="21" s="1"/>
  <c r="AO20" i="21" s="1"/>
  <c r="AH16" i="17" s="1"/>
  <c r="C16" i="20"/>
  <c r="VC21" i="21" s="1"/>
  <c r="AO21" i="21" s="1"/>
  <c r="AH17" i="17" s="1"/>
  <c r="C13" i="20"/>
  <c r="VC18" i="21" s="1"/>
  <c r="AO18" i="21" s="1"/>
  <c r="C22" i="20"/>
  <c r="VC27" i="21" s="1"/>
  <c r="AO27" i="21" s="1"/>
  <c r="AH25" i="17" s="1"/>
  <c r="C14" i="20"/>
  <c r="VC19" i="21" s="1"/>
  <c r="AO19" i="21" s="1"/>
  <c r="AH14" i="17" s="1"/>
  <c r="AT20" i="17"/>
  <c r="AN22" i="21"/>
  <c r="AN17" i="21"/>
  <c r="AN16" i="21"/>
  <c r="B16" i="21" s="1"/>
  <c r="AT15" i="17"/>
  <c r="AN18" i="21"/>
  <c r="AN29" i="21"/>
  <c r="AN27" i="21"/>
  <c r="D25" i="17" s="1"/>
  <c r="AN28" i="21"/>
  <c r="AN25" i="21"/>
  <c r="B25" i="21" s="1"/>
  <c r="AN30" i="21"/>
  <c r="AB14" i="17"/>
  <c r="BN14" i="17" s="1"/>
  <c r="AN20" i="21"/>
  <c r="B20" i="21" s="1"/>
  <c r="AN23" i="21"/>
  <c r="B23" i="21" s="1"/>
  <c r="AN26" i="21"/>
  <c r="AN19" i="21"/>
  <c r="AN13" i="21"/>
  <c r="AN15" i="21"/>
  <c r="AN14" i="21"/>
  <c r="AN21" i="21"/>
  <c r="DQ35" i="5"/>
  <c r="CD35" i="5"/>
  <c r="L26" i="5"/>
  <c r="KC35" i="5"/>
  <c r="H475" i="11"/>
  <c r="AU36" i="16"/>
  <c r="BW39" i="16"/>
  <c r="L22" i="5"/>
  <c r="GC35" i="5"/>
  <c r="KT35" i="5"/>
  <c r="L11" i="5"/>
  <c r="AE36" i="16"/>
  <c r="JU35" i="5"/>
  <c r="L15" i="5"/>
  <c r="L12" i="5"/>
  <c r="AX30" i="5"/>
  <c r="AX32" i="5" s="1"/>
  <c r="AX35" i="5" s="1"/>
  <c r="EG35" i="5"/>
  <c r="JF35" i="5"/>
  <c r="BU35" i="5"/>
  <c r="L18" i="5"/>
  <c r="EO32" i="5"/>
  <c r="EO35" i="5" s="1"/>
  <c r="EO36" i="5" s="1"/>
  <c r="L20" i="5"/>
  <c r="GL35" i="5"/>
  <c r="LA35" i="5"/>
  <c r="EW35" i="5"/>
  <c r="EW36" i="5" s="1"/>
  <c r="L19" i="5"/>
  <c r="AP39" i="16"/>
  <c r="AM36" i="16"/>
  <c r="AR27" i="17"/>
  <c r="AG36" i="16"/>
  <c r="CC35" i="5"/>
  <c r="AU39" i="16"/>
  <c r="IP35" i="5"/>
  <c r="L10" i="5"/>
  <c r="AE39" i="16"/>
  <c r="H282" i="11"/>
  <c r="L16" i="5"/>
  <c r="L14" i="5"/>
  <c r="L13" i="5"/>
  <c r="E8" i="19"/>
  <c r="VG13" i="21" s="1"/>
  <c r="E15" i="19"/>
  <c r="VG20" i="21" s="1"/>
  <c r="VM14" i="21"/>
  <c r="AI15" i="17" s="1"/>
  <c r="K15" i="5"/>
  <c r="ED10" i="5"/>
  <c r="ED28" i="5" s="1"/>
  <c r="ED35" i="5" s="1"/>
  <c r="BA22" i="17"/>
  <c r="AO22" i="17"/>
  <c r="FY35" i="5"/>
  <c r="AO26" i="17"/>
  <c r="AZ13" i="17"/>
  <c r="AR13" i="17"/>
  <c r="BA45" i="20"/>
  <c r="F15" i="11"/>
  <c r="F16" i="11" s="1"/>
  <c r="AO16" i="17"/>
  <c r="KW35" i="5"/>
  <c r="HN30" i="5"/>
  <c r="HN32" i="5" s="1"/>
  <c r="CW28" i="5"/>
  <c r="CW35" i="5" s="1"/>
  <c r="AR28" i="17"/>
  <c r="AD39" i="16"/>
  <c r="FB30" i="5"/>
  <c r="FB32" i="5" s="1"/>
  <c r="FB35" i="5" s="1"/>
  <c r="AR24" i="17"/>
  <c r="AZ24" i="17"/>
  <c r="AX24" i="17" s="1"/>
  <c r="CP36" i="16"/>
  <c r="BA25" i="17"/>
  <c r="AU29" i="17"/>
  <c r="AU39" i="17" s="1"/>
  <c r="AR17" i="17"/>
  <c r="AZ17" i="17"/>
  <c r="C12" i="20"/>
  <c r="VC17" i="21" s="1"/>
  <c r="AO17" i="21" s="1"/>
  <c r="AZ25" i="17"/>
  <c r="C20" i="20"/>
  <c r="VC25" i="21" s="1"/>
  <c r="AO25" i="21" s="1"/>
  <c r="C17" i="20"/>
  <c r="VC22" i="21" s="1"/>
  <c r="AO22" i="21" s="1"/>
  <c r="AD39" i="17"/>
  <c r="C18" i="20"/>
  <c r="VC23" i="21" s="1"/>
  <c r="AO23" i="21" s="1"/>
  <c r="AL39" i="16"/>
  <c r="C19" i="20"/>
  <c r="VC24" i="21" s="1"/>
  <c r="C25" i="20"/>
  <c r="VC30" i="21" s="1"/>
  <c r="AO30" i="21" s="1"/>
  <c r="IK35" i="5"/>
  <c r="G454" i="11"/>
  <c r="I454" i="11" s="1"/>
  <c r="C10" i="20"/>
  <c r="C11" i="20"/>
  <c r="VC16" i="21" s="1"/>
  <c r="AO16" i="21" s="1"/>
  <c r="AR25" i="17"/>
  <c r="AR14" i="17"/>
  <c r="AO19" i="17"/>
  <c r="AO27" i="17"/>
  <c r="AO20" i="17"/>
  <c r="AZ16" i="17"/>
  <c r="AO25" i="17"/>
  <c r="AO18" i="17"/>
  <c r="AO28" i="17"/>
  <c r="AO12" i="17"/>
  <c r="AR26" i="17"/>
  <c r="AZ26" i="17"/>
  <c r="AO14" i="17"/>
  <c r="AO24" i="17"/>
  <c r="AR16" i="17"/>
  <c r="BA23" i="17"/>
  <c r="AR23" i="17"/>
  <c r="AO23" i="17"/>
  <c r="VM52" i="21"/>
  <c r="VM54" i="21" s="1"/>
  <c r="VW41" i="21"/>
  <c r="VW38" i="21"/>
  <c r="VU42" i="21"/>
  <c r="VU31" i="21"/>
  <c r="VO13" i="21"/>
  <c r="VM13" i="21" s="1"/>
  <c r="CK11" i="16"/>
  <c r="AZ14" i="17"/>
  <c r="AR33" i="20"/>
  <c r="AR43" i="20" s="1"/>
  <c r="E193" i="11" s="1"/>
  <c r="AZ11" i="17"/>
  <c r="K15" i="17"/>
  <c r="AO32" i="17"/>
  <c r="AZ36" i="16"/>
  <c r="BB39" i="16"/>
  <c r="EL32" i="5"/>
  <c r="EL35" i="5" s="1"/>
  <c r="AR11" i="17"/>
  <c r="V20" i="17"/>
  <c r="V30" i="5"/>
  <c r="GG35" i="5"/>
  <c r="EC35" i="5"/>
  <c r="V26" i="17"/>
  <c r="BM26" i="17" s="1"/>
  <c r="V28" i="17"/>
  <c r="G32" i="8"/>
  <c r="AS39" i="17"/>
  <c r="AO28" i="5"/>
  <c r="BC36" i="16"/>
  <c r="AB36" i="16"/>
  <c r="JG35" i="5"/>
  <c r="CY33" i="16"/>
  <c r="CY41" i="16" s="1"/>
  <c r="BN36" i="16"/>
  <c r="CB36" i="16"/>
  <c r="AP28" i="5"/>
  <c r="G41" i="5" s="1"/>
  <c r="JY32" i="5"/>
  <c r="JY35" i="5" s="1"/>
  <c r="GH30" i="5"/>
  <c r="GH32" i="5" s="1"/>
  <c r="GH35" i="5" s="1"/>
  <c r="L27" i="5"/>
  <c r="BN35" i="5"/>
  <c r="AY39" i="16"/>
  <c r="F31" i="5"/>
  <c r="D33" i="16"/>
  <c r="D41" i="16" s="1"/>
  <c r="ES35" i="5"/>
  <c r="ES36" i="5" s="1"/>
  <c r="FM35" i="5"/>
  <c r="FM36" i="5" s="1"/>
  <c r="H454" i="11"/>
  <c r="DZ35" i="5"/>
  <c r="GO35" i="5"/>
  <c r="GO36" i="5" s="1"/>
  <c r="KS35" i="5"/>
  <c r="F21" i="5"/>
  <c r="FI35" i="5"/>
  <c r="FI36" i="5" s="1"/>
  <c r="FV30" i="5"/>
  <c r="FV32" i="5" s="1"/>
  <c r="FV35" i="5" s="1"/>
  <c r="AW35" i="5"/>
  <c r="AW36" i="5" s="1"/>
  <c r="I7" i="7"/>
  <c r="G7" i="7" s="1"/>
  <c r="HY35" i="5"/>
  <c r="AM39" i="16"/>
  <c r="AG39" i="16"/>
  <c r="KL35" i="5"/>
  <c r="IO28" i="5"/>
  <c r="IO35" i="5" s="1"/>
  <c r="FU35" i="5"/>
  <c r="CB39" i="16"/>
  <c r="LB35" i="5"/>
  <c r="H19" i="9"/>
  <c r="M17" i="16"/>
  <c r="C17" i="16" s="1"/>
  <c r="H74" i="11"/>
  <c r="H80" i="11"/>
  <c r="BN39" i="16"/>
  <c r="M13" i="16"/>
  <c r="C13" i="16" s="1"/>
  <c r="CP30" i="5"/>
  <c r="CP32" i="5" s="1"/>
  <c r="CP35" i="5" s="1"/>
  <c r="E9" i="19"/>
  <c r="VG14" i="21" s="1"/>
  <c r="O43" i="20"/>
  <c r="O45" i="20" s="1"/>
  <c r="F330" i="11"/>
  <c r="J33" i="20"/>
  <c r="J43" i="20" s="1"/>
  <c r="E309" i="11" s="1"/>
  <c r="E310" i="11" s="1"/>
  <c r="G310" i="11" s="1"/>
  <c r="I310" i="11" s="1"/>
  <c r="H33" i="20"/>
  <c r="H43" i="20" s="1"/>
  <c r="E494" i="11" s="1"/>
  <c r="E490" i="11" s="1"/>
  <c r="T36" i="16"/>
  <c r="N22" i="17"/>
  <c r="KQ32" i="5"/>
  <c r="E17" i="19"/>
  <c r="VG22" i="21" s="1"/>
  <c r="F8" i="19"/>
  <c r="VH13" i="21" s="1"/>
  <c r="AA35" i="5"/>
  <c r="AL10" i="5"/>
  <c r="AB36" i="20"/>
  <c r="FQ35" i="5"/>
  <c r="E14" i="19"/>
  <c r="VG19" i="21" s="1"/>
  <c r="M28" i="16"/>
  <c r="C28" i="16" s="1"/>
  <c r="AT39" i="16"/>
  <c r="J36" i="20"/>
  <c r="Z36" i="20"/>
  <c r="KX35" i="5"/>
  <c r="KP35" i="5"/>
  <c r="BH36" i="16"/>
  <c r="AT36" i="16"/>
  <c r="H36" i="20"/>
  <c r="L17" i="16"/>
  <c r="B17" i="16" s="1"/>
  <c r="HM35" i="5"/>
  <c r="AP36" i="16"/>
  <c r="IT30" i="5"/>
  <c r="IT32" i="5" s="1"/>
  <c r="IT35" i="5" s="1"/>
  <c r="K19" i="17"/>
  <c r="BR36" i="16"/>
  <c r="CJ39" i="16"/>
  <c r="U37" i="20"/>
  <c r="N24" i="17"/>
  <c r="JZ35" i="5"/>
  <c r="U26" i="20"/>
  <c r="E262" i="11"/>
  <c r="KG35" i="5"/>
  <c r="CP39" i="16"/>
  <c r="I49" i="9"/>
  <c r="G47" i="9"/>
  <c r="I47" i="9" s="1"/>
  <c r="N19" i="17"/>
  <c r="AR18" i="17"/>
  <c r="AR12" i="17"/>
  <c r="H8" i="9"/>
  <c r="H33" i="9"/>
  <c r="K18" i="17"/>
  <c r="CV39" i="16"/>
  <c r="K23" i="17"/>
  <c r="AO17" i="17"/>
  <c r="L26" i="16"/>
  <c r="B26" i="16" s="1"/>
  <c r="AO13" i="17"/>
  <c r="K14" i="17"/>
  <c r="K24" i="17"/>
  <c r="AX33" i="20"/>
  <c r="AX43" i="20" s="1"/>
  <c r="E111" i="11" s="1"/>
  <c r="E112" i="11" s="1"/>
  <c r="Z36" i="16"/>
  <c r="AK35" i="5"/>
  <c r="M21" i="16"/>
  <c r="C21" i="16" s="1"/>
  <c r="BF36" i="20"/>
  <c r="AZ33" i="20"/>
  <c r="AZ43" i="20" s="1"/>
  <c r="E15" i="11" s="1"/>
  <c r="E16" i="11" s="1"/>
  <c r="FA35" i="5"/>
  <c r="H25" i="9"/>
  <c r="BR39" i="16"/>
  <c r="CZ36" i="16"/>
  <c r="BB40" i="17"/>
  <c r="DM35" i="5"/>
  <c r="I32" i="8"/>
  <c r="EK32" i="5"/>
  <c r="EK35" i="5" s="1"/>
  <c r="AZ39" i="16"/>
  <c r="H409" i="11"/>
  <c r="JJ35" i="5"/>
  <c r="M16" i="16"/>
  <c r="C16" i="16" s="1"/>
  <c r="G186" i="11"/>
  <c r="BH39" i="16"/>
  <c r="M24" i="16"/>
  <c r="C24" i="16" s="1"/>
  <c r="M26" i="16"/>
  <c r="C26" i="16" s="1"/>
  <c r="M12" i="16"/>
  <c r="C12" i="16" s="1"/>
  <c r="M18" i="16"/>
  <c r="C18" i="16" s="1"/>
  <c r="DB35" i="5"/>
  <c r="HI35" i="5"/>
  <c r="BY35" i="5"/>
  <c r="JE35" i="5"/>
  <c r="BI35" i="5"/>
  <c r="H302" i="11"/>
  <c r="G51" i="11"/>
  <c r="I51" i="11" s="1"/>
  <c r="BJ36" i="16"/>
  <c r="F17" i="5"/>
  <c r="M22" i="16"/>
  <c r="C22" i="16" s="1"/>
  <c r="AM33" i="17"/>
  <c r="AM41" i="17" s="1"/>
  <c r="BB36" i="16"/>
  <c r="M20" i="16"/>
  <c r="C20" i="16" s="1"/>
  <c r="I82" i="11"/>
  <c r="M14" i="16"/>
  <c r="C14" i="16" s="1"/>
  <c r="F39" i="17"/>
  <c r="GK36" i="5"/>
  <c r="BA35" i="5"/>
  <c r="CS35" i="5"/>
  <c r="G233" i="11"/>
  <c r="I233" i="11" s="1"/>
  <c r="BJ39" i="16"/>
  <c r="M32" i="16"/>
  <c r="C32" i="16" s="1"/>
  <c r="G130" i="11"/>
  <c r="I130" i="11" s="1"/>
  <c r="F36" i="17"/>
  <c r="H210" i="11"/>
  <c r="I11" i="6"/>
  <c r="G11" i="6" s="1"/>
  <c r="JH35" i="5"/>
  <c r="F329" i="11"/>
  <c r="H329" i="11" s="1"/>
  <c r="H218" i="11"/>
  <c r="I12" i="6"/>
  <c r="G12" i="6" s="1"/>
  <c r="H239" i="11"/>
  <c r="CN39" i="16"/>
  <c r="IS35" i="5"/>
  <c r="KU28" i="5"/>
  <c r="IL35" i="5"/>
  <c r="CH35" i="5"/>
  <c r="BB35" i="5"/>
  <c r="I451" i="11"/>
  <c r="H154" i="11"/>
  <c r="I16" i="6"/>
  <c r="G16" i="6" s="1"/>
  <c r="Z39" i="16"/>
  <c r="M25" i="16"/>
  <c r="C25" i="16" s="1"/>
  <c r="GX35" i="5"/>
  <c r="E52" i="9"/>
  <c r="E56" i="9" s="1"/>
  <c r="I8" i="6"/>
  <c r="G8" i="6" s="1"/>
  <c r="H47" i="11"/>
  <c r="DE35" i="5"/>
  <c r="FE36" i="5"/>
  <c r="CK35" i="5"/>
  <c r="IW35" i="5"/>
  <c r="IW36" i="5" s="1"/>
  <c r="JM35" i="5"/>
  <c r="H115" i="11"/>
  <c r="BW36" i="16"/>
  <c r="CO35" i="5"/>
  <c r="G45" i="20"/>
  <c r="F483" i="11"/>
  <c r="AQ45" i="20"/>
  <c r="F254" i="11"/>
  <c r="AP36" i="20"/>
  <c r="VE42" i="21"/>
  <c r="S43" i="20"/>
  <c r="S45" i="20" s="1"/>
  <c r="F376" i="11"/>
  <c r="AU45" i="20"/>
  <c r="F382" i="11"/>
  <c r="F383" i="11" s="1"/>
  <c r="AH33" i="20"/>
  <c r="AH43" i="20" s="1"/>
  <c r="E104" i="11" s="1"/>
  <c r="E106" i="11" s="1"/>
  <c r="L28" i="16"/>
  <c r="B28" i="16" s="1"/>
  <c r="D23" i="19"/>
  <c r="VF28" i="21" s="1"/>
  <c r="AM45" i="20"/>
  <c r="F512" i="11"/>
  <c r="F514" i="11" s="1"/>
  <c r="I15" i="7" s="1"/>
  <c r="G15" i="7" s="1"/>
  <c r="C19" i="18"/>
  <c r="H395" i="11"/>
  <c r="DN35" i="5"/>
  <c r="H436" i="11"/>
  <c r="KO35" i="5"/>
  <c r="BF39" i="16"/>
  <c r="CN36" i="16"/>
  <c r="S32" i="18"/>
  <c r="N40" i="16"/>
  <c r="BA26" i="19"/>
  <c r="L22" i="16"/>
  <c r="B22" i="16" s="1"/>
  <c r="X40" i="17"/>
  <c r="L33" i="17"/>
  <c r="L41" i="17" s="1"/>
  <c r="S28" i="18"/>
  <c r="I447" i="11"/>
  <c r="JA35" i="5"/>
  <c r="AS35" i="5"/>
  <c r="BB29" i="17"/>
  <c r="BH36" i="20"/>
  <c r="K26" i="17"/>
  <c r="K27" i="17"/>
  <c r="K28" i="17"/>
  <c r="L18" i="16"/>
  <c r="B18" i="16" s="1"/>
  <c r="K17" i="17"/>
  <c r="U28" i="5"/>
  <c r="K25" i="17"/>
  <c r="K32" i="17"/>
  <c r="K16" i="17"/>
  <c r="IC35" i="5"/>
  <c r="IC36" i="5" s="1"/>
  <c r="JQ35" i="5"/>
  <c r="BJ30" i="5"/>
  <c r="BJ32" i="5" s="1"/>
  <c r="BJ35" i="5" s="1"/>
  <c r="AW45" i="20"/>
  <c r="F108" i="11"/>
  <c r="AR36" i="20"/>
  <c r="K45" i="20"/>
  <c r="F309" i="11"/>
  <c r="AJ33" i="20"/>
  <c r="AJ43" i="20" s="1"/>
  <c r="AR39" i="21" s="1"/>
  <c r="N16" i="17"/>
  <c r="K12" i="17"/>
  <c r="L25" i="16"/>
  <c r="B25" i="16" s="1"/>
  <c r="VN35" i="21"/>
  <c r="VN43" i="21" s="1"/>
  <c r="VM33" i="21"/>
  <c r="AP33" i="17"/>
  <c r="AP41" i="17" s="1"/>
  <c r="D22" i="19"/>
  <c r="VF27" i="21" s="1"/>
  <c r="D12" i="19"/>
  <c r="VF17" i="21" s="1"/>
  <c r="F190" i="11"/>
  <c r="F192" i="11" s="1"/>
  <c r="I16" i="7" s="1"/>
  <c r="G16" i="7" s="1"/>
  <c r="K13" i="17"/>
  <c r="N15" i="17"/>
  <c r="H32" i="8"/>
  <c r="VQ42" i="21"/>
  <c r="I444" i="11"/>
  <c r="AG45" i="20"/>
  <c r="F88" i="11"/>
  <c r="K22" i="17"/>
  <c r="BD40" i="17"/>
  <c r="AB26" i="19"/>
  <c r="DU35" i="5"/>
  <c r="H13" i="7"/>
  <c r="VN42" i="21"/>
  <c r="HN28" i="5"/>
  <c r="W45" i="20"/>
  <c r="F159" i="11"/>
  <c r="F162" i="11" s="1"/>
  <c r="I18" i="6" s="1"/>
  <c r="R36" i="20"/>
  <c r="K20" i="17"/>
  <c r="AT26" i="19"/>
  <c r="AY45" i="20"/>
  <c r="F111" i="11"/>
  <c r="F112" i="11" s="1"/>
  <c r="DV30" i="5"/>
  <c r="DV32" i="5" s="1"/>
  <c r="DV35" i="5" s="1"/>
  <c r="M45" i="20"/>
  <c r="F312" i="11"/>
  <c r="F313" i="11" s="1"/>
  <c r="AH26" i="19"/>
  <c r="P33" i="20"/>
  <c r="P43" i="20" s="1"/>
  <c r="E373" i="11" s="1"/>
  <c r="E374" i="11" s="1"/>
  <c r="G374" i="11" s="1"/>
  <c r="I374" i="11" s="1"/>
  <c r="V19" i="17"/>
  <c r="AZ18" i="17"/>
  <c r="N18" i="17"/>
  <c r="AZ12" i="17"/>
  <c r="K21" i="17"/>
  <c r="B30" i="20"/>
  <c r="B38" i="20" s="1"/>
  <c r="VB33" i="21"/>
  <c r="G127" i="11"/>
  <c r="I127" i="11" s="1"/>
  <c r="H8" i="7"/>
  <c r="D11" i="19"/>
  <c r="VF16" i="21" s="1"/>
  <c r="VD42" i="21"/>
  <c r="R26" i="19"/>
  <c r="AD41" i="20"/>
  <c r="B41" i="20" s="1"/>
  <c r="VK13" i="21"/>
  <c r="VP42" i="21"/>
  <c r="VP31" i="21"/>
  <c r="G403" i="11"/>
  <c r="I403" i="11" s="1"/>
  <c r="H8" i="6"/>
  <c r="H186" i="11"/>
  <c r="H14" i="7"/>
  <c r="G139" i="11"/>
  <c r="I139" i="11" s="1"/>
  <c r="AD36" i="16"/>
  <c r="N27" i="17"/>
  <c r="D21" i="19"/>
  <c r="VF26" i="21" s="1"/>
  <c r="D17" i="19"/>
  <c r="VF22" i="21" s="1"/>
  <c r="N23" i="17"/>
  <c r="N20" i="17"/>
  <c r="H9" i="6"/>
  <c r="H55" i="11"/>
  <c r="H23" i="6"/>
  <c r="H14" i="9"/>
  <c r="G508" i="11"/>
  <c r="I508" i="11" s="1"/>
  <c r="X29" i="17"/>
  <c r="X36" i="17" s="1"/>
  <c r="K85" i="17" s="1"/>
  <c r="V26" i="19"/>
  <c r="D18" i="19"/>
  <c r="VF23" i="21" s="1"/>
  <c r="VP35" i="21"/>
  <c r="VP43" i="21" s="1"/>
  <c r="VK33" i="21"/>
  <c r="D10" i="19"/>
  <c r="VF15" i="21" s="1"/>
  <c r="H127" i="11"/>
  <c r="L32" i="16"/>
  <c r="B32" i="16" s="1"/>
  <c r="L13" i="16"/>
  <c r="B13" i="16" s="1"/>
  <c r="BF36" i="16"/>
  <c r="CH40" i="16"/>
  <c r="D15" i="19"/>
  <c r="VF20" i="21" s="1"/>
  <c r="AH36" i="20"/>
  <c r="G282" i="11"/>
  <c r="I282" i="11" s="1"/>
  <c r="H6" i="6"/>
  <c r="L21" i="16"/>
  <c r="B21" i="16" s="1"/>
  <c r="H424" i="11"/>
  <c r="JI35" i="5"/>
  <c r="AB39" i="16"/>
  <c r="AL36" i="16"/>
  <c r="HU35" i="5"/>
  <c r="CG35" i="5"/>
  <c r="I429" i="11"/>
  <c r="G214" i="11"/>
  <c r="I214" i="11" s="1"/>
  <c r="H12" i="6"/>
  <c r="H34" i="11"/>
  <c r="CZ39" i="16"/>
  <c r="T39" i="16"/>
  <c r="B28" i="18"/>
  <c r="D25" i="19"/>
  <c r="VF30" i="21" s="1"/>
  <c r="B26" i="19"/>
  <c r="VD24" i="21"/>
  <c r="P21" i="17" s="1"/>
  <c r="D9" i="19"/>
  <c r="VF14" i="21" s="1"/>
  <c r="BM26" i="19"/>
  <c r="BF33" i="20"/>
  <c r="BF43" i="20" s="1"/>
  <c r="E229" i="11" s="1"/>
  <c r="HE35" i="5"/>
  <c r="CX35" i="5"/>
  <c r="IM28" i="5"/>
  <c r="IM35" i="5" s="1"/>
  <c r="B33" i="18"/>
  <c r="B32" i="18" s="1"/>
  <c r="D24" i="19"/>
  <c r="VF29" i="21" s="1"/>
  <c r="D14" i="19"/>
  <c r="VF19" i="21" s="1"/>
  <c r="VB42" i="21"/>
  <c r="VB31" i="21"/>
  <c r="P36" i="20"/>
  <c r="B63" i="15"/>
  <c r="B74" i="15" s="1"/>
  <c r="G236" i="11"/>
  <c r="I236" i="11" s="1"/>
  <c r="D32" i="17"/>
  <c r="GW35" i="5"/>
  <c r="G302" i="11"/>
  <c r="I302" i="11" s="1"/>
  <c r="H7" i="6"/>
  <c r="IG36" i="5"/>
  <c r="BG26" i="19"/>
  <c r="B31" i="18"/>
  <c r="M19" i="16"/>
  <c r="C19" i="16" s="1"/>
  <c r="G409" i="11"/>
  <c r="I409" i="11" s="1"/>
  <c r="D19" i="19"/>
  <c r="VF24" i="21" s="1"/>
  <c r="D20" i="19"/>
  <c r="VF25" i="21" s="1"/>
  <c r="AJ36" i="20"/>
  <c r="AX36" i="20"/>
  <c r="L15" i="16"/>
  <c r="B15" i="16" s="1"/>
  <c r="GE35" i="5"/>
  <c r="JV35" i="5"/>
  <c r="P26" i="19"/>
  <c r="L27" i="16"/>
  <c r="B27" i="16" s="1"/>
  <c r="DR35" i="5"/>
  <c r="Z33" i="20"/>
  <c r="Z43" i="20" s="1"/>
  <c r="E170" i="11" s="1"/>
  <c r="H44" i="11"/>
  <c r="BR28" i="5"/>
  <c r="BR35" i="5" s="1"/>
  <c r="AT35" i="5"/>
  <c r="G418" i="11"/>
  <c r="I418" i="11" s="1"/>
  <c r="H363" i="11"/>
  <c r="G55" i="11"/>
  <c r="I55" i="11" s="1"/>
  <c r="CV36" i="16"/>
  <c r="M23" i="16"/>
  <c r="C23" i="16" s="1"/>
  <c r="M15" i="16"/>
  <c r="C15" i="16" s="1"/>
  <c r="L23" i="16"/>
  <c r="B23" i="16" s="1"/>
  <c r="BE35" i="5"/>
  <c r="BE36" i="5" s="1"/>
  <c r="H139" i="11"/>
  <c r="D16" i="19"/>
  <c r="VF21" i="21" s="1"/>
  <c r="AZ36" i="20"/>
  <c r="AN26" i="19"/>
  <c r="H286" i="11"/>
  <c r="FR35" i="5"/>
  <c r="EH35" i="5"/>
  <c r="JN35" i="5"/>
  <c r="T28" i="5"/>
  <c r="T35" i="5" s="1"/>
  <c r="H472" i="11"/>
  <c r="H358" i="11"/>
  <c r="G115" i="11"/>
  <c r="I115" i="11" s="1"/>
  <c r="L19" i="16"/>
  <c r="B19" i="16" s="1"/>
  <c r="L16" i="16"/>
  <c r="B16" i="16" s="1"/>
  <c r="H403" i="11"/>
  <c r="G358" i="11"/>
  <c r="I358" i="11" s="1"/>
  <c r="M27" i="16"/>
  <c r="C27" i="16" s="1"/>
  <c r="L24" i="16"/>
  <c r="B24" i="16" s="1"/>
  <c r="HB28" i="5"/>
  <c r="HB35" i="5" s="1"/>
  <c r="KK35" i="5"/>
  <c r="D13" i="19"/>
  <c r="VF18" i="21" s="1"/>
  <c r="R33" i="20"/>
  <c r="AP33" i="20"/>
  <c r="AP43" i="20" s="1"/>
  <c r="E254" i="11" s="1"/>
  <c r="L12" i="16"/>
  <c r="B12" i="16" s="1"/>
  <c r="L20" i="16"/>
  <c r="B20" i="16" s="1"/>
  <c r="F36" i="20"/>
  <c r="F33" i="20"/>
  <c r="F43" i="20" s="1"/>
  <c r="E483" i="11" s="1"/>
  <c r="AD36" i="20"/>
  <c r="AD33" i="20"/>
  <c r="T36" i="20"/>
  <c r="T33" i="20"/>
  <c r="T43" i="20" s="1"/>
  <c r="E426" i="11" s="1"/>
  <c r="B26" i="20"/>
  <c r="B37" i="20"/>
  <c r="BD36" i="20"/>
  <c r="BD33" i="20"/>
  <c r="BD43" i="20" s="1"/>
  <c r="E27" i="11" s="1"/>
  <c r="L36" i="20"/>
  <c r="L33" i="20"/>
  <c r="L43" i="20" s="1"/>
  <c r="E312" i="11" s="1"/>
  <c r="AV36" i="20"/>
  <c r="AV33" i="20"/>
  <c r="AV43" i="20" s="1"/>
  <c r="E108" i="11" s="1"/>
  <c r="BC36" i="20"/>
  <c r="BC33" i="20"/>
  <c r="BC43" i="20" s="1"/>
  <c r="D36" i="20"/>
  <c r="D33" i="20"/>
  <c r="D43" i="20" s="1"/>
  <c r="AN36" i="20"/>
  <c r="AN33" i="20"/>
  <c r="AN43" i="20" s="1"/>
  <c r="E190" i="11" s="1"/>
  <c r="E192" i="11" s="1"/>
  <c r="AF36" i="20"/>
  <c r="AF33" i="20"/>
  <c r="AF43" i="20" s="1"/>
  <c r="E88" i="11" s="1"/>
  <c r="BB36" i="20"/>
  <c r="BB33" i="20"/>
  <c r="BB43" i="20" s="1"/>
  <c r="E24" i="11" s="1"/>
  <c r="V36" i="20"/>
  <c r="V33" i="20"/>
  <c r="V43" i="20" s="1"/>
  <c r="E159" i="11" s="1"/>
  <c r="AT36" i="20"/>
  <c r="AT33" i="20"/>
  <c r="AT43" i="20" s="1"/>
  <c r="E382" i="11" s="1"/>
  <c r="N36" i="20"/>
  <c r="N33" i="20"/>
  <c r="AL36" i="20"/>
  <c r="AL33" i="20"/>
  <c r="AL43" i="20" s="1"/>
  <c r="E512" i="11" s="1"/>
  <c r="E514" i="11" s="1"/>
  <c r="H15" i="7" s="1"/>
  <c r="M19" i="19"/>
  <c r="K19" i="19" s="1"/>
  <c r="I26" i="19"/>
  <c r="U41" i="20" s="1"/>
  <c r="C41" i="20" s="1"/>
  <c r="C19" i="19"/>
  <c r="BB26" i="19"/>
  <c r="Q26" i="19"/>
  <c r="J26" i="19"/>
  <c r="D8" i="19"/>
  <c r="L40" i="17"/>
  <c r="N85" i="17"/>
  <c r="L29" i="17"/>
  <c r="Q36" i="17"/>
  <c r="Q39" i="17"/>
  <c r="W29" i="17"/>
  <c r="W40" i="17"/>
  <c r="AJ39" i="17"/>
  <c r="AJ36" i="17"/>
  <c r="R39" i="17"/>
  <c r="R36" i="17"/>
  <c r="I85" i="17"/>
  <c r="AD37" i="17"/>
  <c r="BE36" i="17"/>
  <c r="BE39" i="17"/>
  <c r="AG39" i="17"/>
  <c r="AG36" i="17"/>
  <c r="AY40" i="17"/>
  <c r="AY29" i="17"/>
  <c r="AV36" i="17"/>
  <c r="AV39" i="17"/>
  <c r="BA40" i="17"/>
  <c r="AM29" i="17"/>
  <c r="O76" i="17"/>
  <c r="O79" i="17" s="1"/>
  <c r="AM40" i="17"/>
  <c r="AP29" i="17"/>
  <c r="AP40" i="17"/>
  <c r="O85" i="17"/>
  <c r="U40" i="17"/>
  <c r="BH39" i="17"/>
  <c r="BH36" i="17"/>
  <c r="AF39" i="16"/>
  <c r="AF36" i="16"/>
  <c r="CC36" i="16"/>
  <c r="CC39" i="16"/>
  <c r="AV39" i="16"/>
  <c r="AV36" i="16"/>
  <c r="CX33" i="16"/>
  <c r="CX41" i="16" s="1"/>
  <c r="CX40" i="16"/>
  <c r="CX29" i="16"/>
  <c r="CM39" i="16"/>
  <c r="CM36" i="16"/>
  <c r="AH36" i="16"/>
  <c r="AH39" i="16"/>
  <c r="AO39" i="16"/>
  <c r="AO36" i="16"/>
  <c r="BE39" i="16"/>
  <c r="BE36" i="16"/>
  <c r="AS36" i="16"/>
  <c r="AS39" i="16"/>
  <c r="J36" i="16"/>
  <c r="J39" i="16"/>
  <c r="W36" i="16"/>
  <c r="W39" i="16"/>
  <c r="DE39" i="16"/>
  <c r="DE36" i="16"/>
  <c r="DG31" i="16"/>
  <c r="CH33" i="16"/>
  <c r="K39" i="16"/>
  <c r="K36" i="16"/>
  <c r="BS36" i="16"/>
  <c r="BS39" i="16"/>
  <c r="AK36" i="16"/>
  <c r="AK39" i="16"/>
  <c r="CI33" i="16"/>
  <c r="DH31" i="16"/>
  <c r="BZ36" i="16"/>
  <c r="BZ39" i="16"/>
  <c r="CD39" i="16"/>
  <c r="CD36" i="16"/>
  <c r="BY39" i="16"/>
  <c r="BY36" i="16"/>
  <c r="Y39" i="16"/>
  <c r="Y36" i="16"/>
  <c r="CJ36" i="16"/>
  <c r="BG39" i="16"/>
  <c r="BG36" i="16"/>
  <c r="CL39" i="16"/>
  <c r="CL36" i="16"/>
  <c r="CT39" i="16"/>
  <c r="CT36" i="16"/>
  <c r="O33" i="16"/>
  <c r="O41" i="16" s="1"/>
  <c r="M31" i="16"/>
  <c r="AQ39" i="16"/>
  <c r="AQ36" i="16"/>
  <c r="CU39" i="16"/>
  <c r="CU36" i="16"/>
  <c r="DA36" i="16"/>
  <c r="DA39" i="16"/>
  <c r="BU36" i="16"/>
  <c r="BU39" i="16"/>
  <c r="CR39" i="16"/>
  <c r="CR36" i="16"/>
  <c r="CY29" i="16"/>
  <c r="CY40" i="16"/>
  <c r="BV39" i="16"/>
  <c r="BV36" i="16"/>
  <c r="BM39" i="16"/>
  <c r="BM36" i="16"/>
  <c r="BL39" i="16"/>
  <c r="BL36" i="16"/>
  <c r="P39" i="16"/>
  <c r="P36" i="16"/>
  <c r="CA36" i="16"/>
  <c r="CA39" i="16"/>
  <c r="L31" i="16"/>
  <c r="N33" i="16"/>
  <c r="N41" i="16" s="1"/>
  <c r="CG39" i="16"/>
  <c r="CG36" i="16"/>
  <c r="O40" i="16"/>
  <c r="O29" i="16"/>
  <c r="CF36" i="16"/>
  <c r="CF39" i="16"/>
  <c r="D40" i="16"/>
  <c r="D29" i="16"/>
  <c r="BI36" i="16"/>
  <c r="BI39" i="16"/>
  <c r="AC36" i="16"/>
  <c r="AC39" i="16"/>
  <c r="DC39" i="16"/>
  <c r="DC36" i="16"/>
  <c r="AJ36" i="16"/>
  <c r="AJ39" i="16"/>
  <c r="AR36" i="16"/>
  <c r="AR39" i="16"/>
  <c r="DB39" i="16"/>
  <c r="DB36" i="16"/>
  <c r="CH29" i="16"/>
  <c r="L11" i="16"/>
  <c r="B11" i="16" s="1"/>
  <c r="BT39" i="16"/>
  <c r="BT36" i="16"/>
  <c r="CS36" i="16"/>
  <c r="CS39" i="16"/>
  <c r="BK36" i="16"/>
  <c r="BK39" i="16"/>
  <c r="E40" i="16"/>
  <c r="E29" i="16"/>
  <c r="AW39" i="16"/>
  <c r="AW36" i="16"/>
  <c r="DD36" i="16"/>
  <c r="DD39" i="16"/>
  <c r="CQ36" i="16"/>
  <c r="CQ39" i="16"/>
  <c r="CO39" i="16"/>
  <c r="CO36" i="16"/>
  <c r="AA39" i="16"/>
  <c r="AA36" i="16"/>
  <c r="AI39" i="16"/>
  <c r="AI36" i="16"/>
  <c r="L14" i="16"/>
  <c r="B14" i="16" s="1"/>
  <c r="N29" i="16"/>
  <c r="R36" i="16"/>
  <c r="R39" i="16"/>
  <c r="AY36" i="16"/>
  <c r="AN39" i="16"/>
  <c r="AN36" i="16"/>
  <c r="CE39" i="16"/>
  <c r="CE36" i="16"/>
  <c r="BA36" i="16"/>
  <c r="BA39" i="16"/>
  <c r="U36" i="16"/>
  <c r="U39" i="16"/>
  <c r="BD39" i="16"/>
  <c r="BD36" i="16"/>
  <c r="Q39" i="16"/>
  <c r="Q36" i="16"/>
  <c r="CW39" i="16"/>
  <c r="CW36" i="16"/>
  <c r="AX36" i="16"/>
  <c r="AX39" i="16"/>
  <c r="V39" i="16"/>
  <c r="V36" i="16"/>
  <c r="X39" i="16"/>
  <c r="X36" i="16"/>
  <c r="BO39" i="16"/>
  <c r="BO36" i="16"/>
  <c r="S39" i="16"/>
  <c r="S36" i="16"/>
  <c r="G39" i="16"/>
  <c r="G36" i="16"/>
  <c r="F39" i="16"/>
  <c r="F36" i="16"/>
  <c r="BX36" i="16"/>
  <c r="BX39" i="16"/>
  <c r="I456" i="11"/>
  <c r="I438" i="11"/>
  <c r="G439" i="11"/>
  <c r="F499" i="11"/>
  <c r="H499" i="11" s="1"/>
  <c r="H504" i="11"/>
  <c r="I391" i="11"/>
  <c r="G392" i="11"/>
  <c r="I392" i="11" s="1"/>
  <c r="I277" i="11"/>
  <c r="I178" i="11"/>
  <c r="H38" i="11"/>
  <c r="F35" i="11"/>
  <c r="H35" i="11" s="1"/>
  <c r="I510" i="11"/>
  <c r="G499" i="11"/>
  <c r="I499" i="11" s="1"/>
  <c r="H380" i="11"/>
  <c r="H421" i="11"/>
  <c r="H442" i="11"/>
  <c r="H244" i="11"/>
  <c r="F241" i="11"/>
  <c r="D63" i="11"/>
  <c r="D64" i="11" s="1"/>
  <c r="H97" i="11"/>
  <c r="E381" i="11"/>
  <c r="H124" i="11"/>
  <c r="E117" i="11"/>
  <c r="F371" i="11"/>
  <c r="I441" i="11"/>
  <c r="G442" i="11"/>
  <c r="H398" i="11"/>
  <c r="H277" i="11"/>
  <c r="I211" i="11"/>
  <c r="H165" i="11"/>
  <c r="G339" i="11"/>
  <c r="I339" i="11" s="1"/>
  <c r="G189" i="11"/>
  <c r="H183" i="11"/>
  <c r="G298" i="11"/>
  <c r="I298" i="11" s="1"/>
  <c r="I295" i="11"/>
  <c r="H224" i="11"/>
  <c r="G124" i="11"/>
  <c r="G44" i="11"/>
  <c r="I488" i="11"/>
  <c r="G469" i="11"/>
  <c r="I469" i="11" s="1"/>
  <c r="I333" i="11"/>
  <c r="G334" i="11"/>
  <c r="I334" i="11" s="1"/>
  <c r="H346" i="11"/>
  <c r="F338" i="11"/>
  <c r="G487" i="11"/>
  <c r="I487" i="11" s="1"/>
  <c r="H487" i="11"/>
  <c r="H265" i="11"/>
  <c r="F260" i="11"/>
  <c r="H227" i="11"/>
  <c r="I265" i="11"/>
  <c r="G260" i="11"/>
  <c r="I260" i="11" s="1"/>
  <c r="G349" i="11"/>
  <c r="E338" i="11"/>
  <c r="E340" i="11" s="1"/>
  <c r="G14" i="11"/>
  <c r="E10" i="11"/>
  <c r="H10" i="11" s="1"/>
  <c r="G183" i="11"/>
  <c r="H19" i="11"/>
  <c r="G165" i="11"/>
  <c r="D135" i="11"/>
  <c r="H214" i="11"/>
  <c r="H456" i="11"/>
  <c r="E552" i="11"/>
  <c r="H552" i="11" s="1"/>
  <c r="I474" i="11"/>
  <c r="G475" i="11"/>
  <c r="I475" i="11" s="1"/>
  <c r="H337" i="11"/>
  <c r="G150" i="11"/>
  <c r="I150" i="11" s="1"/>
  <c r="I147" i="11"/>
  <c r="F117" i="11"/>
  <c r="H121" i="11"/>
  <c r="G259" i="11"/>
  <c r="I21" i="11"/>
  <c r="G22" i="11"/>
  <c r="I22" i="11" s="1"/>
  <c r="H84" i="11"/>
  <c r="E63" i="11"/>
  <c r="H63" i="11" s="1"/>
  <c r="G19" i="11"/>
  <c r="I19" i="11" s="1"/>
  <c r="I18" i="11"/>
  <c r="H77" i="11"/>
  <c r="I38" i="11"/>
  <c r="H247" i="11"/>
  <c r="E241" i="11"/>
  <c r="G337" i="11"/>
  <c r="G241" i="11"/>
  <c r="I241" i="11" s="1"/>
  <c r="I40" i="11"/>
  <c r="G41" i="11"/>
  <c r="I41" i="11" s="1"/>
  <c r="G77" i="11"/>
  <c r="G25" i="9"/>
  <c r="I16" i="9"/>
  <c r="G14" i="9"/>
  <c r="I14" i="9" s="1"/>
  <c r="I36" i="9"/>
  <c r="G59" i="9"/>
  <c r="H38" i="9"/>
  <c r="I10" i="9"/>
  <c r="G8" i="9"/>
  <c r="I8" i="9" s="1"/>
  <c r="G19" i="9"/>
  <c r="I19" i="9" s="1"/>
  <c r="G33" i="9"/>
  <c r="I33" i="9" s="1"/>
  <c r="F52" i="9"/>
  <c r="F56" i="9" s="1"/>
  <c r="AO35" i="5"/>
  <c r="KD35" i="5"/>
  <c r="CT35" i="5"/>
  <c r="BM35" i="5"/>
  <c r="X35" i="5"/>
  <c r="H41" i="5"/>
  <c r="DY35" i="5"/>
  <c r="HV35" i="5"/>
  <c r="I41" i="5"/>
  <c r="AB35" i="5"/>
  <c r="KI28" i="5"/>
  <c r="KI35" i="5" s="1"/>
  <c r="KH35" i="5"/>
  <c r="DC28" i="5"/>
  <c r="DC35" i="5" s="1"/>
  <c r="BV35" i="5"/>
  <c r="BU36" i="5" s="1"/>
  <c r="KQ28" i="5"/>
  <c r="E32" i="5"/>
  <c r="P32" i="5"/>
  <c r="W35" i="5"/>
  <c r="J41" i="5"/>
  <c r="BZ35" i="5"/>
  <c r="JR35" i="5"/>
  <c r="GA35" i="5"/>
  <c r="HZ35" i="5"/>
  <c r="DJ35" i="5"/>
  <c r="KU32" i="5"/>
  <c r="Z32" i="5"/>
  <c r="E41" i="5" s="1"/>
  <c r="CY28" i="5"/>
  <c r="CY35" i="5" s="1"/>
  <c r="DF35" i="5"/>
  <c r="HJ35" i="5"/>
  <c r="HI36" i="5" s="1"/>
  <c r="CL35" i="5"/>
  <c r="GS35" i="5"/>
  <c r="GS36" i="5" s="1"/>
  <c r="IQ28" i="5"/>
  <c r="IQ35" i="5" s="1"/>
  <c r="HF35" i="5"/>
  <c r="DA35" i="5"/>
  <c r="B18" i="5" l="1"/>
  <c r="F535" i="11"/>
  <c r="HR28" i="5"/>
  <c r="HR35" i="5" s="1"/>
  <c r="F18" i="5"/>
  <c r="F19" i="5"/>
  <c r="B21" i="5"/>
  <c r="BQ35" i="5"/>
  <c r="B25" i="5"/>
  <c r="B27" i="5"/>
  <c r="B11" i="5"/>
  <c r="B14" i="5"/>
  <c r="B26" i="5"/>
  <c r="B15" i="5"/>
  <c r="F25" i="5"/>
  <c r="E535" i="11"/>
  <c r="B13" i="5"/>
  <c r="B12" i="5"/>
  <c r="G533" i="11"/>
  <c r="G532" i="11"/>
  <c r="F271" i="11"/>
  <c r="AX22" i="17"/>
  <c r="G534" i="11"/>
  <c r="BE33" i="20"/>
  <c r="BE43" i="20" s="1"/>
  <c r="BE36" i="20"/>
  <c r="AS33" i="20"/>
  <c r="AS43" i="20" s="1"/>
  <c r="AS36" i="20"/>
  <c r="I186" i="11"/>
  <c r="B20" i="5"/>
  <c r="AL28" i="5"/>
  <c r="AL35" i="5" s="1"/>
  <c r="AK36" i="5" s="1"/>
  <c r="L41" i="5"/>
  <c r="EG36" i="5"/>
  <c r="Y35" i="5"/>
  <c r="F11" i="5"/>
  <c r="F198" i="11"/>
  <c r="F201" i="11" s="1"/>
  <c r="JA36" i="5"/>
  <c r="DQ36" i="5"/>
  <c r="HA36" i="5"/>
  <c r="AX17" i="17"/>
  <c r="F27" i="5"/>
  <c r="JU36" i="5"/>
  <c r="AX26" i="17"/>
  <c r="I189" i="11"/>
  <c r="F13" i="7"/>
  <c r="C18" i="7"/>
  <c r="AX12" i="17"/>
  <c r="E550" i="11"/>
  <c r="H174" i="11"/>
  <c r="E177" i="11"/>
  <c r="H21" i="6" s="1"/>
  <c r="I174" i="11"/>
  <c r="F85" i="11"/>
  <c r="F86" i="11" s="1"/>
  <c r="F62" i="11" s="1"/>
  <c r="VG42" i="21"/>
  <c r="FY36" i="5"/>
  <c r="F490" i="11"/>
  <c r="H490" i="11" s="1"/>
  <c r="AN23" i="17"/>
  <c r="G18" i="7"/>
  <c r="Z14" i="17"/>
  <c r="G63" i="11"/>
  <c r="I63" i="11" s="1"/>
  <c r="U35" i="5"/>
  <c r="HQ36" i="5"/>
  <c r="C26" i="21"/>
  <c r="AF23" i="17" s="1"/>
  <c r="AL23" i="17" s="1"/>
  <c r="I18" i="7"/>
  <c r="I20" i="7" s="1"/>
  <c r="G192" i="11"/>
  <c r="I192" i="11" s="1"/>
  <c r="H16" i="7"/>
  <c r="H18" i="7" s="1"/>
  <c r="H192" i="11"/>
  <c r="H514" i="11"/>
  <c r="F500" i="11"/>
  <c r="E500" i="11"/>
  <c r="G514" i="11"/>
  <c r="I514" i="11" s="1"/>
  <c r="E134" i="11"/>
  <c r="F134" i="11"/>
  <c r="U33" i="20"/>
  <c r="U43" i="20" s="1"/>
  <c r="F426" i="11" s="1"/>
  <c r="AN16" i="17"/>
  <c r="AU48" i="21"/>
  <c r="F550" i="11"/>
  <c r="AN26" i="17"/>
  <c r="G28" i="5"/>
  <c r="AX23" i="17"/>
  <c r="H16" i="11"/>
  <c r="C28" i="21"/>
  <c r="AF26" i="17" s="1"/>
  <c r="AL26" i="17" s="1"/>
  <c r="C20" i="21"/>
  <c r="AF16" i="17" s="1"/>
  <c r="AL16" i="17" s="1"/>
  <c r="AX13" i="17"/>
  <c r="H28" i="5"/>
  <c r="H35" i="5" s="1"/>
  <c r="C29" i="21"/>
  <c r="AF27" i="17" s="1"/>
  <c r="AL27" i="17" s="1"/>
  <c r="R30" i="5"/>
  <c r="G30" i="5" s="1"/>
  <c r="G32" i="5" s="1"/>
  <c r="CC36" i="5"/>
  <c r="DY36" i="5"/>
  <c r="C27" i="21"/>
  <c r="AF25" i="17" s="1"/>
  <c r="AL25" i="17" s="1"/>
  <c r="D535" i="11"/>
  <c r="D540" i="11" s="1"/>
  <c r="AN25" i="17"/>
  <c r="AX16" i="17"/>
  <c r="AX18" i="17"/>
  <c r="AX14" i="17"/>
  <c r="AN27" i="17"/>
  <c r="AN14" i="17"/>
  <c r="KW36" i="5"/>
  <c r="F26" i="19"/>
  <c r="N10" i="5"/>
  <c r="C10" i="5" s="1"/>
  <c r="V32" i="5"/>
  <c r="D41" i="5" s="1"/>
  <c r="N30" i="5"/>
  <c r="C30" i="5" s="1"/>
  <c r="DI36" i="5"/>
  <c r="KC36" i="5"/>
  <c r="BM36" i="5"/>
  <c r="F7" i="7"/>
  <c r="C20" i="7"/>
  <c r="E132" i="11"/>
  <c r="F11" i="6"/>
  <c r="F29" i="6" s="1"/>
  <c r="C29" i="6"/>
  <c r="C31" i="6" s="1"/>
  <c r="F13" i="5"/>
  <c r="AR20" i="17"/>
  <c r="LA36" i="5"/>
  <c r="HY36" i="5"/>
  <c r="C19" i="21"/>
  <c r="AF14" i="17" s="1"/>
  <c r="AL14" i="17" s="1"/>
  <c r="V14" i="17"/>
  <c r="BM14" i="17" s="1"/>
  <c r="C18" i="21"/>
  <c r="AF13" i="17" s="1"/>
  <c r="AL13" i="17" s="1"/>
  <c r="AH13" i="17"/>
  <c r="AZ15" i="17"/>
  <c r="AX15" i="17" s="1"/>
  <c r="C30" i="20"/>
  <c r="C38" i="20" s="1"/>
  <c r="VC33" i="21"/>
  <c r="AH32" i="17"/>
  <c r="C34" i="21"/>
  <c r="AF32" i="17" s="1"/>
  <c r="AL32" i="17" s="1"/>
  <c r="AO15" i="17"/>
  <c r="C14" i="21"/>
  <c r="AF15" i="17" s="1"/>
  <c r="AZ20" i="17"/>
  <c r="AX20" i="17" s="1"/>
  <c r="AN17" i="17"/>
  <c r="HN35" i="5"/>
  <c r="HM36" i="5" s="1"/>
  <c r="AR15" i="17"/>
  <c r="AN24" i="21"/>
  <c r="AN33" i="21"/>
  <c r="AN35" i="21" s="1"/>
  <c r="AB11" i="17"/>
  <c r="BN11" i="17" s="1"/>
  <c r="AP35" i="5"/>
  <c r="AO36" i="5" s="1"/>
  <c r="GC36" i="5"/>
  <c r="Q32" i="5"/>
  <c r="L32" i="5" s="1"/>
  <c r="AU36" i="17"/>
  <c r="AH15" i="17"/>
  <c r="JM36" i="5"/>
  <c r="C21" i="21"/>
  <c r="AF17" i="17" s="1"/>
  <c r="AL17" i="17" s="1"/>
  <c r="BA29" i="17"/>
  <c r="BA39" i="17" s="1"/>
  <c r="F24" i="5"/>
  <c r="F12" i="5"/>
  <c r="FA36" i="5"/>
  <c r="M28" i="5"/>
  <c r="K28" i="5" s="1"/>
  <c r="K10" i="5"/>
  <c r="BK32" i="17"/>
  <c r="BK25" i="17"/>
  <c r="Z17" i="17"/>
  <c r="BN17" i="17"/>
  <c r="Z27" i="17"/>
  <c r="BN27" i="17"/>
  <c r="Z22" i="17"/>
  <c r="BN22" i="17"/>
  <c r="Z18" i="17"/>
  <c r="BN18" i="17"/>
  <c r="Z23" i="17"/>
  <c r="BN23" i="17"/>
  <c r="Z24" i="17"/>
  <c r="BN24" i="17"/>
  <c r="Z15" i="17"/>
  <c r="BN15" i="17"/>
  <c r="Z12" i="17"/>
  <c r="BN12" i="17"/>
  <c r="T20" i="17"/>
  <c r="BM20" i="17"/>
  <c r="Z16" i="17"/>
  <c r="BN16" i="17"/>
  <c r="Z28" i="17"/>
  <c r="BN28" i="17"/>
  <c r="T19" i="17"/>
  <c r="BM19" i="17"/>
  <c r="Z21" i="17"/>
  <c r="BN21" i="17"/>
  <c r="BM28" i="17"/>
  <c r="Z26" i="17"/>
  <c r="BN26" i="17"/>
  <c r="Z19" i="17"/>
  <c r="BN19" i="17"/>
  <c r="Z20" i="17"/>
  <c r="BN20" i="17"/>
  <c r="BN13" i="17"/>
  <c r="Z25" i="17"/>
  <c r="BN25" i="17"/>
  <c r="KK36" i="5"/>
  <c r="G309" i="11"/>
  <c r="I309" i="11" s="1"/>
  <c r="AZ19" i="17"/>
  <c r="AX19" i="17" s="1"/>
  <c r="AX25" i="17"/>
  <c r="C37" i="20"/>
  <c r="CS36" i="5"/>
  <c r="Q28" i="5"/>
  <c r="VC15" i="21"/>
  <c r="B23" i="5"/>
  <c r="V22" i="17"/>
  <c r="D22" i="17"/>
  <c r="AR19" i="17"/>
  <c r="VU38" i="21"/>
  <c r="C51" i="15" s="1"/>
  <c r="C54" i="15" s="1"/>
  <c r="C63" i="15" s="1"/>
  <c r="C74" i="15" s="1"/>
  <c r="VU41" i="21"/>
  <c r="AR66" i="17"/>
  <c r="CI11" i="16"/>
  <c r="CK40" i="16"/>
  <c r="CK29" i="16"/>
  <c r="VO42" i="21"/>
  <c r="VO31" i="21"/>
  <c r="E76" i="17"/>
  <c r="E79" i="17" s="1"/>
  <c r="DU36" i="5"/>
  <c r="CG36" i="5"/>
  <c r="H15" i="11"/>
  <c r="V16" i="17"/>
  <c r="DM36" i="5"/>
  <c r="V18" i="17"/>
  <c r="GG36" i="5"/>
  <c r="DE36" i="5"/>
  <c r="JI36" i="5"/>
  <c r="KQ35" i="5"/>
  <c r="KO36" i="5" s="1"/>
  <c r="V17" i="17"/>
  <c r="V27" i="17"/>
  <c r="JY36" i="5"/>
  <c r="AX11" i="17"/>
  <c r="V12" i="17"/>
  <c r="V15" i="17"/>
  <c r="V24" i="17"/>
  <c r="EK36" i="5"/>
  <c r="V23" i="17"/>
  <c r="AT40" i="17"/>
  <c r="GW36" i="5"/>
  <c r="BI36" i="5"/>
  <c r="EC36" i="5"/>
  <c r="B19" i="5"/>
  <c r="V25" i="17"/>
  <c r="V13" i="17"/>
  <c r="C23" i="21"/>
  <c r="AF20" i="17" s="1"/>
  <c r="C16" i="21"/>
  <c r="AF24" i="17" s="1"/>
  <c r="AL24" i="17" s="1"/>
  <c r="AH22" i="17"/>
  <c r="M32" i="5"/>
  <c r="K32" i="5" s="1"/>
  <c r="CW36" i="5"/>
  <c r="BY36" i="5"/>
  <c r="FQ36" i="5"/>
  <c r="H52" i="9"/>
  <c r="KU35" i="5"/>
  <c r="KS36" i="5" s="1"/>
  <c r="FU36" i="5"/>
  <c r="O32" i="5"/>
  <c r="CK36" i="5"/>
  <c r="IO36" i="5"/>
  <c r="AN11" i="17"/>
  <c r="U36" i="20"/>
  <c r="D20" i="17"/>
  <c r="H494" i="11"/>
  <c r="E495" i="11"/>
  <c r="H495" i="11" s="1"/>
  <c r="G494" i="11"/>
  <c r="G495" i="11" s="1"/>
  <c r="I495" i="11" s="1"/>
  <c r="F331" i="11"/>
  <c r="H309" i="11"/>
  <c r="P28" i="5"/>
  <c r="P35" i="5" s="1"/>
  <c r="D24" i="17"/>
  <c r="IS36" i="5"/>
  <c r="JQ36" i="5"/>
  <c r="G16" i="11"/>
  <c r="I16" i="11" s="1"/>
  <c r="BB39" i="17"/>
  <c r="G15" i="11"/>
  <c r="I15" i="11" s="1"/>
  <c r="B22" i="5"/>
  <c r="C26" i="20"/>
  <c r="IK36" i="5"/>
  <c r="CO36" i="5"/>
  <c r="D23" i="17"/>
  <c r="G111" i="11"/>
  <c r="I111" i="11" s="1"/>
  <c r="H111" i="11"/>
  <c r="E196" i="11"/>
  <c r="G193" i="11"/>
  <c r="I193" i="11" s="1"/>
  <c r="D85" i="17"/>
  <c r="BB36" i="17"/>
  <c r="L85" i="17" s="1"/>
  <c r="AS36" i="5"/>
  <c r="JE36" i="5"/>
  <c r="HE36" i="5"/>
  <c r="H117" i="11"/>
  <c r="BA36" i="5"/>
  <c r="B16" i="5"/>
  <c r="C41" i="5"/>
  <c r="DA36" i="5"/>
  <c r="BQ36" i="5"/>
  <c r="D12" i="17"/>
  <c r="H104" i="11"/>
  <c r="F484" i="11"/>
  <c r="F468" i="11" s="1"/>
  <c r="F467" i="11"/>
  <c r="G104" i="11"/>
  <c r="I104" i="11" s="1"/>
  <c r="F377" i="11"/>
  <c r="F370" i="11" s="1"/>
  <c r="F369" i="11"/>
  <c r="I25" i="6"/>
  <c r="G25" i="6" s="1"/>
  <c r="F498" i="11"/>
  <c r="F257" i="11"/>
  <c r="I26" i="6" s="1"/>
  <c r="G26" i="6" s="1"/>
  <c r="F249" i="11"/>
  <c r="F252" i="11" s="1"/>
  <c r="H373" i="11"/>
  <c r="C30" i="21"/>
  <c r="AF28" i="17" s="1"/>
  <c r="AL28" i="17" s="1"/>
  <c r="AH28" i="17"/>
  <c r="G373" i="11"/>
  <c r="I373" i="11" s="1"/>
  <c r="VQ24" i="21"/>
  <c r="C32" i="18"/>
  <c r="C28" i="18"/>
  <c r="B16" i="17"/>
  <c r="H16" i="17" s="1"/>
  <c r="E85" i="17"/>
  <c r="AD43" i="20"/>
  <c r="E85" i="11" s="1"/>
  <c r="E86" i="11" s="1"/>
  <c r="G18" i="6"/>
  <c r="C13" i="21"/>
  <c r="AF11" i="17" s="1"/>
  <c r="AL11" i="17" s="1"/>
  <c r="VM42" i="21"/>
  <c r="AI11" i="17"/>
  <c r="B22" i="17"/>
  <c r="H22" i="17" s="1"/>
  <c r="B24" i="17"/>
  <c r="H24" i="17" s="1"/>
  <c r="D16" i="17"/>
  <c r="J25" i="17"/>
  <c r="F310" i="11"/>
  <c r="BC45" i="20"/>
  <c r="F24" i="11"/>
  <c r="F25" i="11" s="1"/>
  <c r="F91" i="11"/>
  <c r="I24" i="6" s="1"/>
  <c r="G24" i="6" s="1"/>
  <c r="VM35" i="21"/>
  <c r="AI31" i="17"/>
  <c r="J32" i="17"/>
  <c r="BL32" i="17" s="1"/>
  <c r="B20" i="17"/>
  <c r="H20" i="17" s="1"/>
  <c r="C22" i="21"/>
  <c r="AF18" i="17" s="1"/>
  <c r="AL18" i="17" s="1"/>
  <c r="AH18" i="17"/>
  <c r="F109" i="11"/>
  <c r="F100" i="11" s="1"/>
  <c r="F99" i="11"/>
  <c r="E383" i="11"/>
  <c r="H382" i="11"/>
  <c r="G382" i="11"/>
  <c r="I382" i="11" s="1"/>
  <c r="D15" i="17"/>
  <c r="H25" i="6"/>
  <c r="E498" i="11"/>
  <c r="G512" i="11"/>
  <c r="H512" i="11"/>
  <c r="VB41" i="21"/>
  <c r="V21" i="17"/>
  <c r="D26" i="19"/>
  <c r="VF13" i="21"/>
  <c r="G27" i="11"/>
  <c r="E28" i="11"/>
  <c r="E8" i="11"/>
  <c r="X39" i="17"/>
  <c r="N43" i="20"/>
  <c r="E330" i="11"/>
  <c r="E271" i="11" s="1"/>
  <c r="E31" i="11"/>
  <c r="G30" i="11"/>
  <c r="I30" i="11" s="1"/>
  <c r="H30" i="11"/>
  <c r="VD31" i="21"/>
  <c r="E173" i="11"/>
  <c r="H20" i="6" s="1"/>
  <c r="G170" i="11"/>
  <c r="H170" i="11"/>
  <c r="B29" i="21"/>
  <c r="D27" i="17"/>
  <c r="G229" i="11"/>
  <c r="E230" i="11"/>
  <c r="H229" i="11"/>
  <c r="E198" i="11"/>
  <c r="G24" i="11"/>
  <c r="I24" i="11" s="1"/>
  <c r="E25" i="11"/>
  <c r="G483" i="11"/>
  <c r="H483" i="11"/>
  <c r="E484" i="11"/>
  <c r="E467" i="11"/>
  <c r="VH31" i="21"/>
  <c r="VH42" i="21"/>
  <c r="H374" i="11"/>
  <c r="P40" i="17"/>
  <c r="N11" i="17"/>
  <c r="P29" i="17"/>
  <c r="VB35" i="21"/>
  <c r="VB43" i="21" s="1"/>
  <c r="HU36" i="5"/>
  <c r="G88" i="11"/>
  <c r="I88" i="11" s="1"/>
  <c r="E91" i="11"/>
  <c r="H88" i="11"/>
  <c r="D26" i="17"/>
  <c r="D18" i="17"/>
  <c r="D14" i="17"/>
  <c r="D28" i="17"/>
  <c r="VP41" i="21"/>
  <c r="VP38" i="21"/>
  <c r="E109" i="11"/>
  <c r="G108" i="11"/>
  <c r="E99" i="11"/>
  <c r="H108" i="11"/>
  <c r="D17" i="17"/>
  <c r="E162" i="11"/>
  <c r="H159" i="11"/>
  <c r="G159" i="11"/>
  <c r="I159" i="11" s="1"/>
  <c r="G254" i="11"/>
  <c r="E257" i="11"/>
  <c r="E249" i="11"/>
  <c r="H254" i="11"/>
  <c r="C17" i="21"/>
  <c r="AH12" i="17"/>
  <c r="B15" i="21"/>
  <c r="D19" i="17"/>
  <c r="VK42" i="21"/>
  <c r="VJ13" i="21"/>
  <c r="VK31" i="21"/>
  <c r="C26" i="19"/>
  <c r="VE24" i="21"/>
  <c r="AT21" i="17" s="1"/>
  <c r="E427" i="11"/>
  <c r="G426" i="11"/>
  <c r="E386" i="11"/>
  <c r="H190" i="11"/>
  <c r="G190" i="11"/>
  <c r="E313" i="11"/>
  <c r="G312" i="11"/>
  <c r="I312" i="11" s="1"/>
  <c r="H312" i="11"/>
  <c r="R43" i="20"/>
  <c r="E376" i="11"/>
  <c r="AN42" i="21"/>
  <c r="D11" i="17"/>
  <c r="VJ33" i="21"/>
  <c r="VK35" i="21"/>
  <c r="VK43" i="21" s="1"/>
  <c r="D13" i="17"/>
  <c r="G112" i="11"/>
  <c r="I112" i="11" s="1"/>
  <c r="H112" i="11"/>
  <c r="E101" i="11"/>
  <c r="H101" i="11" s="1"/>
  <c r="G106" i="11"/>
  <c r="H106" i="11"/>
  <c r="KG36" i="5"/>
  <c r="B33" i="20"/>
  <c r="B43" i="20" s="1"/>
  <c r="B36" i="20"/>
  <c r="E19" i="19"/>
  <c r="K26" i="19"/>
  <c r="M26" i="19"/>
  <c r="G19" i="19"/>
  <c r="H85" i="17"/>
  <c r="AP39" i="17"/>
  <c r="AP36" i="17"/>
  <c r="AY39" i="17"/>
  <c r="AY36" i="17"/>
  <c r="L76" i="17" s="1"/>
  <c r="L79" i="17" s="1"/>
  <c r="J85" i="17"/>
  <c r="BH37" i="17"/>
  <c r="AM39" i="17"/>
  <c r="AM36" i="17"/>
  <c r="H76" i="17"/>
  <c r="H79" i="17" s="1"/>
  <c r="J76" i="17"/>
  <c r="J79" i="17" s="1"/>
  <c r="BE37" i="17"/>
  <c r="W39" i="17"/>
  <c r="W36" i="17"/>
  <c r="K83" i="17" s="1"/>
  <c r="L39" i="17"/>
  <c r="L36" i="17"/>
  <c r="F85" i="17"/>
  <c r="CY36" i="16"/>
  <c r="CY39" i="16"/>
  <c r="B29" i="16"/>
  <c r="B40" i="16"/>
  <c r="E36" i="16"/>
  <c r="E37" i="16" s="1"/>
  <c r="E39" i="16"/>
  <c r="D39" i="16"/>
  <c r="D36" i="16"/>
  <c r="D37" i="16" s="1"/>
  <c r="L40" i="16"/>
  <c r="L29" i="16"/>
  <c r="M33" i="16"/>
  <c r="M41" i="16" s="1"/>
  <c r="C31" i="16"/>
  <c r="C33" i="16" s="1"/>
  <c r="C41" i="16" s="1"/>
  <c r="L33" i="16"/>
  <c r="L41" i="16" s="1"/>
  <c r="B31" i="16"/>
  <c r="B33" i="16" s="1"/>
  <c r="B41" i="16" s="1"/>
  <c r="DG33" i="16"/>
  <c r="CH41" i="16"/>
  <c r="CH36" i="16"/>
  <c r="DG29" i="16"/>
  <c r="CH39" i="16"/>
  <c r="DH33" i="16"/>
  <c r="CI41" i="16"/>
  <c r="N39" i="16"/>
  <c r="N36" i="16"/>
  <c r="O36" i="16"/>
  <c r="O39" i="16"/>
  <c r="CX36" i="16"/>
  <c r="CX39" i="16"/>
  <c r="I77" i="11"/>
  <c r="I349" i="11"/>
  <c r="G338" i="11"/>
  <c r="I338" i="11" s="1"/>
  <c r="I442" i="11"/>
  <c r="E371" i="11"/>
  <c r="H371" i="11" s="1"/>
  <c r="G381" i="11"/>
  <c r="G553" i="11" s="1"/>
  <c r="I553" i="11" s="1"/>
  <c r="E553" i="11"/>
  <c r="H338" i="11"/>
  <c r="F340" i="11"/>
  <c r="H340" i="11" s="1"/>
  <c r="G47" i="11"/>
  <c r="I47" i="11" s="1"/>
  <c r="I44" i="11"/>
  <c r="I183" i="11"/>
  <c r="I124" i="11"/>
  <c r="G117" i="11"/>
  <c r="I117" i="11" s="1"/>
  <c r="H381" i="11"/>
  <c r="D519" i="11"/>
  <c r="D274" i="11"/>
  <c r="D520" i="11" s="1"/>
  <c r="D518" i="11"/>
  <c r="B15" i="13" s="1"/>
  <c r="G35" i="11"/>
  <c r="I35" i="11" s="1"/>
  <c r="H260" i="11"/>
  <c r="F262" i="11"/>
  <c r="H262" i="11" s="1"/>
  <c r="I439" i="11"/>
  <c r="I337" i="11"/>
  <c r="H241" i="11"/>
  <c r="I165" i="11"/>
  <c r="I14" i="11"/>
  <c r="G10" i="11"/>
  <c r="I259" i="11"/>
  <c r="G262" i="11"/>
  <c r="I262" i="11" s="1"/>
  <c r="G552" i="11"/>
  <c r="I552" i="11" s="1"/>
  <c r="G52" i="9"/>
  <c r="I25" i="9"/>
  <c r="I52" i="9" s="1"/>
  <c r="S32" i="5"/>
  <c r="H39" i="5"/>
  <c r="E35" i="5"/>
  <c r="Z35" i="5"/>
  <c r="Y36" i="5" s="1"/>
  <c r="I39" i="5"/>
  <c r="R28" i="5"/>
  <c r="S28" i="5"/>
  <c r="O28" i="5"/>
  <c r="D28" i="5"/>
  <c r="C33" i="20" l="1"/>
  <c r="C43" i="20" s="1"/>
  <c r="F41" i="5"/>
  <c r="B41" i="5" s="1"/>
  <c r="G535" i="11"/>
  <c r="F332" i="11"/>
  <c r="F273" i="11" s="1"/>
  <c r="F519" i="11" s="1"/>
  <c r="I19" i="7" s="1"/>
  <c r="F272" i="11"/>
  <c r="BE45" i="20"/>
  <c r="F27" i="11"/>
  <c r="F8" i="11" s="1"/>
  <c r="H8" i="11" s="1"/>
  <c r="AS45" i="20"/>
  <c r="F193" i="11"/>
  <c r="F18" i="7"/>
  <c r="F61" i="11"/>
  <c r="F64" i="11" s="1"/>
  <c r="G134" i="11"/>
  <c r="I134" i="11" s="1"/>
  <c r="E135" i="11"/>
  <c r="F501" i="11"/>
  <c r="G500" i="11"/>
  <c r="I500" i="11" s="1"/>
  <c r="V11" i="17"/>
  <c r="BM11" i="17" s="1"/>
  <c r="V35" i="5"/>
  <c r="U36" i="5" s="1"/>
  <c r="H134" i="11"/>
  <c r="H500" i="11"/>
  <c r="G35" i="5"/>
  <c r="BA36" i="17"/>
  <c r="L83" i="17" s="1"/>
  <c r="AL20" i="17"/>
  <c r="AL15" i="17"/>
  <c r="G132" i="11"/>
  <c r="AR40" i="17"/>
  <c r="AN13" i="17"/>
  <c r="AN32" i="17"/>
  <c r="AO33" i="21"/>
  <c r="VC35" i="21"/>
  <c r="VC43" i="21" s="1"/>
  <c r="AN15" i="17"/>
  <c r="AO24" i="21"/>
  <c r="AO15" i="21"/>
  <c r="C15" i="21" s="1"/>
  <c r="J20" i="17"/>
  <c r="Q35" i="5"/>
  <c r="L28" i="5"/>
  <c r="BK27" i="17"/>
  <c r="BL25" i="17"/>
  <c r="BK23" i="17"/>
  <c r="BK22" i="17"/>
  <c r="BK20" i="17"/>
  <c r="BK19" i="17"/>
  <c r="BK18" i="17"/>
  <c r="BK17" i="17"/>
  <c r="BK16" i="17"/>
  <c r="BK15" i="17"/>
  <c r="BK14" i="17"/>
  <c r="BK13" i="17"/>
  <c r="BK12" i="17"/>
  <c r="BK28" i="17"/>
  <c r="BK26" i="17"/>
  <c r="BM21" i="17"/>
  <c r="T24" i="17"/>
  <c r="BM24" i="17"/>
  <c r="T15" i="17"/>
  <c r="BM15" i="17"/>
  <c r="T22" i="17"/>
  <c r="BM22" i="17"/>
  <c r="BM17" i="17"/>
  <c r="BM12" i="17"/>
  <c r="VW39" i="21"/>
  <c r="BM25" i="17"/>
  <c r="T18" i="17"/>
  <c r="BM18" i="17"/>
  <c r="J22" i="17"/>
  <c r="BM13" i="17"/>
  <c r="T23" i="17"/>
  <c r="BM23" i="17"/>
  <c r="J24" i="17"/>
  <c r="BK24" i="17"/>
  <c r="T27" i="17"/>
  <c r="BM27" i="17"/>
  <c r="T16" i="17"/>
  <c r="BM16" i="17"/>
  <c r="M35" i="5"/>
  <c r="M37" i="5" s="1"/>
  <c r="N28" i="5"/>
  <c r="AX40" i="17"/>
  <c r="AZ40" i="17"/>
  <c r="VC42" i="21"/>
  <c r="VC31" i="21"/>
  <c r="N32" i="5"/>
  <c r="E491" i="11"/>
  <c r="H491" i="11" s="1"/>
  <c r="AH20" i="17"/>
  <c r="CK36" i="16"/>
  <c r="CK39" i="16"/>
  <c r="DH11" i="16"/>
  <c r="CI40" i="16"/>
  <c r="M11" i="16"/>
  <c r="CI29" i="16"/>
  <c r="VO41" i="21"/>
  <c r="VO38" i="21"/>
  <c r="G491" i="11"/>
  <c r="I491" i="11" s="1"/>
  <c r="G490" i="11"/>
  <c r="I490" i="11" s="1"/>
  <c r="I494" i="11"/>
  <c r="O35" i="5"/>
  <c r="AN22" i="17"/>
  <c r="C25" i="21"/>
  <c r="AF22" i="17" s="1"/>
  <c r="AL22" i="17" s="1"/>
  <c r="AH24" i="17"/>
  <c r="R32" i="5"/>
  <c r="R35" i="5" s="1"/>
  <c r="H553" i="11"/>
  <c r="D528" i="11"/>
  <c r="B17" i="13"/>
  <c r="C30" i="6"/>
  <c r="D526" i="11"/>
  <c r="B16" i="13"/>
  <c r="C19" i="7"/>
  <c r="H24" i="11"/>
  <c r="B85" i="17"/>
  <c r="U45" i="20"/>
  <c r="C36" i="20"/>
  <c r="J23" i="17"/>
  <c r="H467" i="11"/>
  <c r="J12" i="17"/>
  <c r="H27" i="6"/>
  <c r="G196" i="11"/>
  <c r="I196" i="11" s="1"/>
  <c r="C85" i="17"/>
  <c r="O37" i="16"/>
  <c r="CY37" i="16"/>
  <c r="CX37" i="16"/>
  <c r="F102" i="11"/>
  <c r="VN24" i="21"/>
  <c r="VQ31" i="21"/>
  <c r="VL39" i="21"/>
  <c r="N37" i="16"/>
  <c r="AN28" i="17"/>
  <c r="AO31" i="17"/>
  <c r="AO33" i="17" s="1"/>
  <c r="AI33" i="17"/>
  <c r="AI41" i="17" s="1"/>
  <c r="J26" i="17"/>
  <c r="VB38" i="21"/>
  <c r="J15" i="17"/>
  <c r="J17" i="17"/>
  <c r="AN18" i="17"/>
  <c r="VM50" i="21"/>
  <c r="VM43" i="21"/>
  <c r="AO11" i="17"/>
  <c r="AI40" i="17"/>
  <c r="J18" i="17"/>
  <c r="J13" i="17"/>
  <c r="H85" i="11"/>
  <c r="J28" i="17"/>
  <c r="H310" i="11"/>
  <c r="B19" i="17"/>
  <c r="H19" i="17" s="1"/>
  <c r="E61" i="11"/>
  <c r="G85" i="11"/>
  <c r="G61" i="11" s="1"/>
  <c r="J14" i="17"/>
  <c r="J27" i="17"/>
  <c r="J16" i="17"/>
  <c r="J19" i="17"/>
  <c r="B27" i="17"/>
  <c r="H27" i="17" s="1"/>
  <c r="G91" i="11"/>
  <c r="H24" i="6"/>
  <c r="E100" i="11"/>
  <c r="H100" i="11" s="1"/>
  <c r="H109" i="11"/>
  <c r="G109" i="11"/>
  <c r="I483" i="11"/>
  <c r="G467" i="11"/>
  <c r="I467" i="11" s="1"/>
  <c r="I190" i="11"/>
  <c r="VJ42" i="21"/>
  <c r="VJ31" i="21"/>
  <c r="E11" i="17"/>
  <c r="AF12" i="17"/>
  <c r="H18" i="6"/>
  <c r="H162" i="11"/>
  <c r="G162" i="11"/>
  <c r="I162" i="11" s="1"/>
  <c r="D31" i="17"/>
  <c r="I27" i="11"/>
  <c r="G8" i="11"/>
  <c r="VH41" i="21"/>
  <c r="VH38" i="21"/>
  <c r="AN53" i="21" s="1"/>
  <c r="VF42" i="21"/>
  <c r="VF31" i="21"/>
  <c r="E26" i="19"/>
  <c r="VG24" i="21"/>
  <c r="VG31" i="21" s="1"/>
  <c r="H86" i="11"/>
  <c r="G86" i="11"/>
  <c r="E62" i="11"/>
  <c r="H62" i="11" s="1"/>
  <c r="H426" i="11"/>
  <c r="F427" i="11"/>
  <c r="F386" i="11"/>
  <c r="E252" i="11"/>
  <c r="H252" i="11" s="1"/>
  <c r="H249" i="11"/>
  <c r="P36" i="17"/>
  <c r="Q35" i="17" s="1"/>
  <c r="P39" i="17"/>
  <c r="G515" i="11"/>
  <c r="I512" i="11"/>
  <c r="G498" i="11"/>
  <c r="G313" i="11"/>
  <c r="I313" i="11" s="1"/>
  <c r="H313" i="11"/>
  <c r="I108" i="11"/>
  <c r="G99" i="11"/>
  <c r="AN12" i="17"/>
  <c r="G25" i="11"/>
  <c r="I25" i="11" s="1"/>
  <c r="H25" i="11"/>
  <c r="VD41" i="21"/>
  <c r="VD38" i="21"/>
  <c r="AN52" i="21" s="1"/>
  <c r="D21" i="17"/>
  <c r="I106" i="11"/>
  <c r="G101" i="11"/>
  <c r="I101" i="11" s="1"/>
  <c r="I426" i="11"/>
  <c r="G386" i="11"/>
  <c r="I386" i="11" s="1"/>
  <c r="F540" i="11"/>
  <c r="I33" i="8"/>
  <c r="D40" i="17"/>
  <c r="J11" i="17"/>
  <c r="G427" i="11"/>
  <c r="E387" i="11"/>
  <c r="E389" i="11" s="1"/>
  <c r="H198" i="11"/>
  <c r="G383" i="11"/>
  <c r="I383" i="11" s="1"/>
  <c r="H383" i="11"/>
  <c r="AN31" i="21"/>
  <c r="D43" i="15"/>
  <c r="H33" i="8"/>
  <c r="H26" i="6"/>
  <c r="H257" i="11"/>
  <c r="N40" i="17"/>
  <c r="G484" i="11"/>
  <c r="E468" i="11"/>
  <c r="H468" i="11" s="1"/>
  <c r="H484" i="11"/>
  <c r="G230" i="11"/>
  <c r="E199" i="11"/>
  <c r="H199" i="11" s="1"/>
  <c r="H230" i="11"/>
  <c r="G173" i="11"/>
  <c r="I170" i="11"/>
  <c r="G31" i="11"/>
  <c r="I31" i="11" s="1"/>
  <c r="H31" i="11"/>
  <c r="H498" i="11"/>
  <c r="E501" i="11"/>
  <c r="E369" i="11"/>
  <c r="H369" i="11" s="1"/>
  <c r="E377" i="11"/>
  <c r="H376" i="11"/>
  <c r="G376" i="11"/>
  <c r="VK41" i="21"/>
  <c r="VK38" i="21"/>
  <c r="G26" i="19"/>
  <c r="VI24" i="21"/>
  <c r="BF21" i="17" s="1"/>
  <c r="AB40" i="17"/>
  <c r="Z11" i="17"/>
  <c r="AB29" i="17"/>
  <c r="BN29" i="17" s="1"/>
  <c r="G28" i="11"/>
  <c r="E9" i="11"/>
  <c r="VJ35" i="21"/>
  <c r="E31" i="17"/>
  <c r="E21" i="12"/>
  <c r="B13" i="21"/>
  <c r="VE31" i="21"/>
  <c r="G249" i="11"/>
  <c r="G257" i="11"/>
  <c r="I257" i="11" s="1"/>
  <c r="I254" i="11"/>
  <c r="H99" i="11"/>
  <c r="I229" i="11"/>
  <c r="G198" i="11"/>
  <c r="H271" i="11"/>
  <c r="H330" i="11"/>
  <c r="E331" i="11"/>
  <c r="G330" i="11"/>
  <c r="G271" i="11" s="1"/>
  <c r="S35" i="5"/>
  <c r="C76" i="17"/>
  <c r="C79" i="17"/>
  <c r="CH37" i="16"/>
  <c r="DG36" i="16"/>
  <c r="L36" i="16"/>
  <c r="L37" i="16" s="1"/>
  <c r="L39" i="16"/>
  <c r="B36" i="16"/>
  <c r="B75" i="15" s="1"/>
  <c r="B39" i="16"/>
  <c r="G340" i="11"/>
  <c r="I340" i="11" s="1"/>
  <c r="I381" i="11"/>
  <c r="G371" i="11"/>
  <c r="I371" i="11" s="1"/>
  <c r="D524" i="11"/>
  <c r="D521" i="11"/>
  <c r="I10" i="11"/>
  <c r="G56" i="9"/>
  <c r="M39" i="5"/>
  <c r="F10" i="5"/>
  <c r="F28" i="5" s="1"/>
  <c r="F30" i="5"/>
  <c r="F32" i="5" s="1"/>
  <c r="E39" i="5"/>
  <c r="J39" i="5"/>
  <c r="D35" i="5"/>
  <c r="L39" i="5"/>
  <c r="C28" i="5"/>
  <c r="B10" i="5"/>
  <c r="B28" i="5" s="1"/>
  <c r="C32" i="5"/>
  <c r="D39" i="5" s="1"/>
  <c r="B30" i="5"/>
  <c r="B32" i="5" s="1"/>
  <c r="K39" i="5"/>
  <c r="H61" i="11" l="1"/>
  <c r="F274" i="11"/>
  <c r="E332" i="11"/>
  <c r="E273" i="11" s="1"/>
  <c r="E272" i="11"/>
  <c r="H27" i="11"/>
  <c r="F28" i="11"/>
  <c r="H193" i="11"/>
  <c r="F132" i="11"/>
  <c r="F517" i="11" s="1"/>
  <c r="F196" i="11"/>
  <c r="V40" i="17"/>
  <c r="D16" i="13"/>
  <c r="G135" i="11"/>
  <c r="I135" i="11" s="1"/>
  <c r="V29" i="17"/>
  <c r="BM29" i="17" s="1"/>
  <c r="T11" i="17"/>
  <c r="T40" i="17" s="1"/>
  <c r="F526" i="11"/>
  <c r="BL20" i="17"/>
  <c r="VC38" i="21"/>
  <c r="I132" i="11"/>
  <c r="AH19" i="17"/>
  <c r="AO42" i="21"/>
  <c r="AO35" i="21"/>
  <c r="C33" i="21"/>
  <c r="AH31" i="17"/>
  <c r="C42" i="21"/>
  <c r="AF19" i="17"/>
  <c r="AL19" i="17" s="1"/>
  <c r="K35" i="5"/>
  <c r="Q37" i="5"/>
  <c r="L35" i="5"/>
  <c r="BL27" i="17"/>
  <c r="BL24" i="17"/>
  <c r="BL23" i="17"/>
  <c r="BL22" i="17"/>
  <c r="BK21" i="17"/>
  <c r="BL19" i="17"/>
  <c r="BL18" i="17"/>
  <c r="BL17" i="17"/>
  <c r="BL16" i="17"/>
  <c r="BL15" i="17"/>
  <c r="BL14" i="17"/>
  <c r="BL13" i="17"/>
  <c r="BL12" i="17"/>
  <c r="BL28" i="17"/>
  <c r="BL26" i="17"/>
  <c r="BK11" i="17"/>
  <c r="N35" i="5"/>
  <c r="M36" i="5" s="1"/>
  <c r="BK31" i="17"/>
  <c r="AN20" i="17"/>
  <c r="VC41" i="21"/>
  <c r="CI39" i="16"/>
  <c r="DH29" i="16"/>
  <c r="CI36" i="16"/>
  <c r="M29" i="16"/>
  <c r="M40" i="16"/>
  <c r="C11" i="16"/>
  <c r="AN24" i="17"/>
  <c r="I85" i="11"/>
  <c r="VB39" i="21"/>
  <c r="F35" i="5"/>
  <c r="Q36" i="5"/>
  <c r="D29" i="17"/>
  <c r="VN31" i="21"/>
  <c r="VM24" i="21"/>
  <c r="C24" i="21" s="1"/>
  <c r="VQ41" i="21"/>
  <c r="VQ38" i="21"/>
  <c r="E64" i="11"/>
  <c r="AO41" i="17"/>
  <c r="E83" i="17"/>
  <c r="J21" i="17"/>
  <c r="O83" i="17"/>
  <c r="AO40" i="17"/>
  <c r="K31" i="17"/>
  <c r="K33" i="17" s="1"/>
  <c r="E33" i="17"/>
  <c r="E41" i="17" s="1"/>
  <c r="VJ41" i="21"/>
  <c r="VJ51" i="21"/>
  <c r="VJ38" i="21"/>
  <c r="E102" i="11"/>
  <c r="H102" i="11" s="1"/>
  <c r="VJ50" i="21"/>
  <c r="VJ43" i="21"/>
  <c r="I376" i="11"/>
  <c r="G369" i="11"/>
  <c r="I369" i="11" s="1"/>
  <c r="I427" i="11"/>
  <c r="G387" i="11"/>
  <c r="I387" i="11" s="1"/>
  <c r="AN50" i="21"/>
  <c r="AN43" i="21"/>
  <c r="E517" i="11"/>
  <c r="AT29" i="17"/>
  <c r="AR21" i="17"/>
  <c r="H386" i="11"/>
  <c r="G100" i="11"/>
  <c r="I100" i="11" s="1"/>
  <c r="I109" i="11"/>
  <c r="I230" i="11"/>
  <c r="G199" i="11"/>
  <c r="I199" i="11" s="1"/>
  <c r="N81" i="17"/>
  <c r="J40" i="17"/>
  <c r="I86" i="11"/>
  <c r="G62" i="11"/>
  <c r="I62" i="11" s="1"/>
  <c r="H331" i="11"/>
  <c r="G331" i="11"/>
  <c r="G272" i="11" s="1"/>
  <c r="H377" i="11"/>
  <c r="G377" i="11"/>
  <c r="E370" i="11"/>
  <c r="H370" i="11" s="1"/>
  <c r="AN38" i="21"/>
  <c r="AN41" i="21"/>
  <c r="I99" i="11"/>
  <c r="I198" i="11"/>
  <c r="Z40" i="17"/>
  <c r="E201" i="11"/>
  <c r="H201" i="11" s="1"/>
  <c r="VE41" i="21"/>
  <c r="VE38" i="21"/>
  <c r="AO52" i="21" s="1"/>
  <c r="I498" i="11"/>
  <c r="G501" i="11"/>
  <c r="J31" i="17"/>
  <c r="D33" i="17"/>
  <c r="B11" i="17"/>
  <c r="VI31" i="21"/>
  <c r="I330" i="11"/>
  <c r="I484" i="11"/>
  <c r="G468" i="11"/>
  <c r="I468" i="11" s="1"/>
  <c r="I249" i="11"/>
  <c r="G252" i="11"/>
  <c r="I252" i="11" s="1"/>
  <c r="I28" i="11"/>
  <c r="G9" i="11"/>
  <c r="VG38" i="21"/>
  <c r="VG41" i="21"/>
  <c r="H29" i="6"/>
  <c r="VF41" i="21"/>
  <c r="VF38" i="21"/>
  <c r="H427" i="11"/>
  <c r="F387" i="11"/>
  <c r="F389" i="11" s="1"/>
  <c r="E40" i="17"/>
  <c r="K11" i="17"/>
  <c r="E29" i="17"/>
  <c r="AH21" i="17"/>
  <c r="AO31" i="21"/>
  <c r="I61" i="11"/>
  <c r="AB39" i="17"/>
  <c r="AB36" i="17"/>
  <c r="N65" i="17"/>
  <c r="I8" i="11"/>
  <c r="AL12" i="17"/>
  <c r="G39" i="5"/>
  <c r="C39" i="5" s="1"/>
  <c r="B35" i="5"/>
  <c r="B36" i="5" s="1"/>
  <c r="F39" i="5"/>
  <c r="B39" i="5" s="1"/>
  <c r="C35" i="5"/>
  <c r="G332" i="11" l="1"/>
  <c r="G273" i="11" s="1"/>
  <c r="G274" i="11" s="1"/>
  <c r="H332" i="11"/>
  <c r="E274" i="11"/>
  <c r="H196" i="11"/>
  <c r="I27" i="6"/>
  <c r="H28" i="11"/>
  <c r="F9" i="11"/>
  <c r="H9" i="11" s="1"/>
  <c r="F135" i="11"/>
  <c r="H135" i="11" s="1"/>
  <c r="H132" i="11"/>
  <c r="V36" i="17"/>
  <c r="BM36" i="17" s="1"/>
  <c r="V39" i="17"/>
  <c r="B43" i="5"/>
  <c r="C43" i="5"/>
  <c r="AN19" i="17"/>
  <c r="AH40" i="17"/>
  <c r="F37" i="5"/>
  <c r="F36" i="5"/>
  <c r="AH33" i="17"/>
  <c r="AH41" i="17" s="1"/>
  <c r="AN31" i="17"/>
  <c r="AN33" i="17" s="1"/>
  <c r="C35" i="21"/>
  <c r="C43" i="21" s="1"/>
  <c r="AF31" i="17"/>
  <c r="AO50" i="21"/>
  <c r="C50" i="21" s="1"/>
  <c r="AO43" i="21"/>
  <c r="AF40" i="17"/>
  <c r="BL21" i="17"/>
  <c r="BL11" i="17"/>
  <c r="D39" i="17"/>
  <c r="BK29" i="17"/>
  <c r="J33" i="17"/>
  <c r="BL33" i="17" s="1"/>
  <c r="BL31" i="17"/>
  <c r="AC35" i="17"/>
  <c r="BN36" i="17"/>
  <c r="D41" i="17"/>
  <c r="BK33" i="17"/>
  <c r="C40" i="16"/>
  <c r="C29" i="16"/>
  <c r="M39" i="16"/>
  <c r="M36" i="16"/>
  <c r="M37" i="16" s="1"/>
  <c r="CI37" i="16"/>
  <c r="DH36" i="16"/>
  <c r="E518" i="11"/>
  <c r="C15" i="13" s="1"/>
  <c r="E15" i="13" s="1"/>
  <c r="J29" i="17"/>
  <c r="AN51" i="21"/>
  <c r="AN55" i="21" s="1"/>
  <c r="VM31" i="21"/>
  <c r="AI21" i="17"/>
  <c r="VN38" i="21"/>
  <c r="VN41" i="21"/>
  <c r="G64" i="11"/>
  <c r="G201" i="11"/>
  <c r="I201" i="11" s="1"/>
  <c r="I9" i="11"/>
  <c r="I271" i="11"/>
  <c r="E39" i="17"/>
  <c r="E36" i="17"/>
  <c r="K29" i="17"/>
  <c r="K40" i="17"/>
  <c r="N83" i="17"/>
  <c r="VI38" i="21"/>
  <c r="AO53" i="21" s="1"/>
  <c r="VI41" i="21"/>
  <c r="H517" i="11"/>
  <c r="H387" i="11"/>
  <c r="H11" i="17"/>
  <c r="I331" i="11"/>
  <c r="I272" i="11"/>
  <c r="D83" i="17"/>
  <c r="K41" i="17"/>
  <c r="AZ21" i="17"/>
  <c r="BD21" i="17"/>
  <c r="BD29" i="17" s="1"/>
  <c r="BF29" i="17"/>
  <c r="AN21" i="17"/>
  <c r="AH29" i="17"/>
  <c r="AF21" i="17"/>
  <c r="AF29" i="17" s="1"/>
  <c r="C31" i="21"/>
  <c r="D36" i="17"/>
  <c r="AO51" i="21"/>
  <c r="AR65" i="17"/>
  <c r="VC39" i="21"/>
  <c r="G370" i="11"/>
  <c r="I370" i="11" s="1"/>
  <c r="I377" i="11"/>
  <c r="AN54" i="21"/>
  <c r="AR29" i="17"/>
  <c r="H273" i="11"/>
  <c r="E519" i="11"/>
  <c r="G517" i="11"/>
  <c r="H389" i="11"/>
  <c r="AO41" i="21"/>
  <c r="AO38" i="21"/>
  <c r="AO39" i="21" s="1"/>
  <c r="AT36" i="17"/>
  <c r="AU35" i="17" s="1"/>
  <c r="AT39" i="17"/>
  <c r="VJ55" i="21"/>
  <c r="H272" i="11"/>
  <c r="G389" i="11"/>
  <c r="I389" i="11" s="1"/>
  <c r="AB37" i="17"/>
  <c r="I81" i="17"/>
  <c r="G102" i="11"/>
  <c r="I102" i="11" s="1"/>
  <c r="E522" i="11"/>
  <c r="AL40" i="17"/>
  <c r="O74" i="17"/>
  <c r="B37" i="5"/>
  <c r="F518" i="11" l="1"/>
  <c r="F524" i="11" s="1"/>
  <c r="I332" i="11"/>
  <c r="F520" i="11"/>
  <c r="F528" i="11" s="1"/>
  <c r="W35" i="17"/>
  <c r="K81" i="17"/>
  <c r="I29" i="6"/>
  <c r="I31" i="6" s="1"/>
  <c r="G27" i="6"/>
  <c r="G29" i="6" s="1"/>
  <c r="O81" i="17"/>
  <c r="O87" i="17" s="1"/>
  <c r="AN40" i="17"/>
  <c r="J41" i="17"/>
  <c r="AN41" i="17"/>
  <c r="E81" i="17"/>
  <c r="AL31" i="17"/>
  <c r="AL33" i="17" s="1"/>
  <c r="AF33" i="17"/>
  <c r="AF41" i="17" s="1"/>
  <c r="D81" i="17"/>
  <c r="J39" i="17"/>
  <c r="BL29" i="17"/>
  <c r="E35" i="17"/>
  <c r="BK36" i="17"/>
  <c r="F522" i="11"/>
  <c r="C36" i="16"/>
  <c r="C75" i="15" s="1"/>
  <c r="C39" i="16"/>
  <c r="C53" i="21"/>
  <c r="J36" i="17"/>
  <c r="F81" i="17"/>
  <c r="AO21" i="17"/>
  <c r="AI29" i="17"/>
  <c r="VM51" i="21"/>
  <c r="C51" i="21" s="1"/>
  <c r="VM41" i="21"/>
  <c r="VM38" i="21"/>
  <c r="VM39" i="21" s="1"/>
  <c r="AL21" i="17"/>
  <c r="AL29" i="17" s="1"/>
  <c r="AN29" i="17"/>
  <c r="AN36" i="17" s="1"/>
  <c r="E19" i="12"/>
  <c r="E22" i="12" s="1"/>
  <c r="I517" i="11"/>
  <c r="G523" i="11"/>
  <c r="AR39" i="17"/>
  <c r="AR36" i="17"/>
  <c r="BD36" i="17"/>
  <c r="J74" i="17" s="1"/>
  <c r="BD39" i="17"/>
  <c r="C16" i="13"/>
  <c r="H19" i="7"/>
  <c r="H519" i="11"/>
  <c r="AO55" i="21"/>
  <c r="AZ29" i="17"/>
  <c r="AX21" i="17"/>
  <c r="AX29" i="17" s="1"/>
  <c r="C41" i="21"/>
  <c r="C38" i="21"/>
  <c r="BF39" i="17"/>
  <c r="BF36" i="17"/>
  <c r="BG35" i="17" s="1"/>
  <c r="E520" i="11"/>
  <c r="H274" i="11"/>
  <c r="AF39" i="17"/>
  <c r="C52" i="21"/>
  <c r="AH36" i="17"/>
  <c r="AH39" i="17"/>
  <c r="I273" i="11"/>
  <c r="G519" i="11"/>
  <c r="I519" i="11" s="1"/>
  <c r="K39" i="17"/>
  <c r="F83" i="17"/>
  <c r="B83" i="17" s="1"/>
  <c r="K36" i="17"/>
  <c r="G518" i="11"/>
  <c r="D15" i="13" l="1"/>
  <c r="H518" i="11"/>
  <c r="F521" i="11"/>
  <c r="D17" i="13"/>
  <c r="I30" i="6"/>
  <c r="AF36" i="17"/>
  <c r="AL36" i="17"/>
  <c r="AL38" i="17" s="1"/>
  <c r="AL41" i="17"/>
  <c r="E74" i="17"/>
  <c r="E87" i="17" s="1"/>
  <c r="B81" i="17"/>
  <c r="BL36" i="17"/>
  <c r="K35" i="17"/>
  <c r="AO54" i="21"/>
  <c r="C54" i="21" s="1"/>
  <c r="AN39" i="17"/>
  <c r="H81" i="17"/>
  <c r="AL39" i="17"/>
  <c r="H74" i="17"/>
  <c r="H521" i="11"/>
  <c r="AI36" i="17"/>
  <c r="AI39" i="17"/>
  <c r="AO29" i="17"/>
  <c r="VM55" i="21"/>
  <c r="AX36" i="17"/>
  <c r="L74" i="17" s="1"/>
  <c r="AX39" i="17"/>
  <c r="AR69" i="17"/>
  <c r="AR37" i="17"/>
  <c r="AR38" i="17"/>
  <c r="C17" i="13"/>
  <c r="E17" i="13" s="1"/>
  <c r="H30" i="6"/>
  <c r="AZ39" i="17"/>
  <c r="AZ36" i="17"/>
  <c r="G520" i="11"/>
  <c r="I520" i="11" s="1"/>
  <c r="I274" i="11"/>
  <c r="C55" i="21"/>
  <c r="C46" i="21"/>
  <c r="E16" i="13"/>
  <c r="H520" i="11"/>
  <c r="BF37" i="17"/>
  <c r="BD37" i="17" s="1"/>
  <c r="J81" i="17"/>
  <c r="E521" i="11"/>
  <c r="I518" i="11"/>
  <c r="AF37" i="17" l="1"/>
  <c r="L81" i="17"/>
  <c r="C81" i="17" s="1"/>
  <c r="BA35" i="17"/>
  <c r="AI35" i="17"/>
  <c r="I521" i="11"/>
  <c r="H83" i="17"/>
  <c r="AO36" i="17"/>
  <c r="AO39" i="17"/>
  <c r="G521" i="11"/>
  <c r="J87" i="17"/>
  <c r="C74" i="17"/>
  <c r="L87" i="17" l="1"/>
  <c r="AL37" i="17"/>
  <c r="AO35" i="17"/>
  <c r="C83" i="17"/>
  <c r="H87" i="17"/>
  <c r="C88" i="17"/>
  <c r="C87" i="17" l="1"/>
  <c r="P18" i="21" l="1"/>
  <c r="T18" i="21"/>
  <c r="T31" i="21" l="1"/>
  <c r="AA13" i="17"/>
  <c r="D18" i="21"/>
  <c r="R18" i="21"/>
  <c r="O13" i="17"/>
  <c r="AA29" i="17" l="1"/>
  <c r="Z13" i="17"/>
  <c r="Z29" i="17" s="1"/>
  <c r="T38" i="21"/>
  <c r="D53" i="21" s="1"/>
  <c r="B53" i="21" s="1"/>
  <c r="T41" i="21"/>
  <c r="I78" i="17"/>
  <c r="U13" i="17"/>
  <c r="N13" i="17"/>
  <c r="C13" i="17"/>
  <c r="B18" i="21"/>
  <c r="Z39" i="17" l="1"/>
  <c r="Z36" i="17"/>
  <c r="I74" i="17" s="1"/>
  <c r="AA36" i="17"/>
  <c r="AA39" i="17"/>
  <c r="B13" i="17"/>
  <c r="T13" i="17"/>
  <c r="I13" i="17"/>
  <c r="I76" i="17" l="1"/>
  <c r="I79" i="17" s="1"/>
  <c r="AA37" i="17"/>
  <c r="Z37" i="17" s="1"/>
  <c r="H13" i="17"/>
  <c r="I87" i="17" l="1"/>
  <c r="P19" i="21" l="1"/>
  <c r="P21" i="21"/>
  <c r="D21" i="21" l="1"/>
  <c r="R21" i="21"/>
  <c r="O17" i="17"/>
  <c r="D19" i="21"/>
  <c r="R19" i="21"/>
  <c r="O14" i="17"/>
  <c r="U17" i="17" l="1"/>
  <c r="T17" i="17" s="1"/>
  <c r="N17" i="17"/>
  <c r="C17" i="17"/>
  <c r="B21" i="21"/>
  <c r="U14" i="17"/>
  <c r="N14" i="17"/>
  <c r="C14" i="17"/>
  <c r="B19" i="21"/>
  <c r="I17" i="17" l="1"/>
  <c r="B17" i="17"/>
  <c r="H17" i="17" s="1"/>
  <c r="B14" i="17"/>
  <c r="I14" i="17"/>
  <c r="T14" i="17"/>
  <c r="H14" i="17" l="1"/>
  <c r="P17" i="21" l="1"/>
  <c r="N14" i="21"/>
  <c r="N22" i="21"/>
  <c r="N24" i="21"/>
  <c r="P24" i="21"/>
  <c r="N26" i="21"/>
  <c r="P27" i="21"/>
  <c r="N28" i="21"/>
  <c r="P28" i="21"/>
  <c r="P30" i="21"/>
  <c r="N33" i="21"/>
  <c r="N34" i="21"/>
  <c r="D33" i="21" l="1"/>
  <c r="R30" i="21"/>
  <c r="D30" i="21"/>
  <c r="O28" i="17"/>
  <c r="R28" i="21"/>
  <c r="O26" i="17"/>
  <c r="D27" i="21"/>
  <c r="R27" i="21"/>
  <c r="O25" i="17"/>
  <c r="R24" i="21"/>
  <c r="O21" i="17"/>
  <c r="D17" i="21"/>
  <c r="R17" i="21"/>
  <c r="O12" i="17"/>
  <c r="P31" i="21"/>
  <c r="D26" i="21"/>
  <c r="D34" i="21"/>
  <c r="N35" i="21"/>
  <c r="D28" i="21"/>
  <c r="D24" i="21"/>
  <c r="D22" i="21"/>
  <c r="D14" i="21"/>
  <c r="N42" i="21"/>
  <c r="N78" i="17" s="1"/>
  <c r="N31" i="21"/>
  <c r="R31" i="21" l="1"/>
  <c r="R38" i="21" s="1"/>
  <c r="B33" i="21"/>
  <c r="C31" i="17"/>
  <c r="U28" i="17"/>
  <c r="T28" i="17" s="1"/>
  <c r="N28" i="17"/>
  <c r="C28" i="17"/>
  <c r="B30" i="21"/>
  <c r="U26" i="17"/>
  <c r="T26" i="17" s="1"/>
  <c r="N26" i="17"/>
  <c r="U25" i="17"/>
  <c r="T25" i="17" s="1"/>
  <c r="N25" i="17"/>
  <c r="C25" i="17"/>
  <c r="B27" i="21"/>
  <c r="U21" i="17"/>
  <c r="T21" i="17" s="1"/>
  <c r="N21" i="17"/>
  <c r="P41" i="21"/>
  <c r="P38" i="21"/>
  <c r="N45" i="17" s="1"/>
  <c r="D52" i="21"/>
  <c r="U12" i="17"/>
  <c r="N12" i="17"/>
  <c r="O29" i="17"/>
  <c r="C12" i="17"/>
  <c r="B17" i="21"/>
  <c r="C23" i="17"/>
  <c r="B26" i="21"/>
  <c r="WR39" i="21"/>
  <c r="E53" i="9"/>
  <c r="D78" i="17"/>
  <c r="N43" i="21"/>
  <c r="C32" i="17"/>
  <c r="D35" i="21"/>
  <c r="B34" i="21"/>
  <c r="B28" i="21"/>
  <c r="C26" i="17"/>
  <c r="C21" i="17"/>
  <c r="B24" i="21"/>
  <c r="C18" i="17"/>
  <c r="B22" i="21"/>
  <c r="N41" i="21"/>
  <c r="F78" i="17"/>
  <c r="N38" i="21"/>
  <c r="D42" i="21"/>
  <c r="C15" i="17"/>
  <c r="B14" i="21"/>
  <c r="D31" i="21"/>
  <c r="K78" i="17" l="1"/>
  <c r="B78" i="17" s="1"/>
  <c r="R41" i="21"/>
  <c r="I18" i="17"/>
  <c r="I21" i="17"/>
  <c r="I28" i="17"/>
  <c r="I25" i="17"/>
  <c r="I26" i="17"/>
  <c r="I23" i="17"/>
  <c r="I31" i="17"/>
  <c r="I12" i="17"/>
  <c r="N39" i="21"/>
  <c r="N29" i="17"/>
  <c r="N39" i="17" s="1"/>
  <c r="B31" i="17"/>
  <c r="H31" i="17" s="1"/>
  <c r="B28" i="17"/>
  <c r="H28" i="17" s="1"/>
  <c r="B25" i="17"/>
  <c r="H25" i="17" s="1"/>
  <c r="B12" i="17"/>
  <c r="H12" i="17" s="1"/>
  <c r="T12" i="17"/>
  <c r="T29" i="17" s="1"/>
  <c r="U29" i="17"/>
  <c r="B52" i="21"/>
  <c r="D54" i="21"/>
  <c r="B54" i="21" s="1"/>
  <c r="O36" i="17"/>
  <c r="O39" i="17"/>
  <c r="B23" i="17"/>
  <c r="H23" i="17" s="1"/>
  <c r="D50" i="21"/>
  <c r="B50" i="21" s="1"/>
  <c r="D43" i="21"/>
  <c r="C33" i="17"/>
  <c r="C41" i="17" s="1"/>
  <c r="I32" i="17"/>
  <c r="B35" i="21"/>
  <c r="B43" i="21" s="1"/>
  <c r="B32" i="17"/>
  <c r="B26" i="17"/>
  <c r="H26" i="17" s="1"/>
  <c r="B21" i="17"/>
  <c r="H21" i="17" s="1"/>
  <c r="B18" i="17"/>
  <c r="H18" i="17" s="1"/>
  <c r="D51" i="21"/>
  <c r="B51" i="21" s="1"/>
  <c r="D38" i="21"/>
  <c r="D41" i="21"/>
  <c r="B15" i="17"/>
  <c r="B42" i="21"/>
  <c r="B31" i="21"/>
  <c r="C40" i="17"/>
  <c r="I15" i="17"/>
  <c r="C29" i="17"/>
  <c r="I33" i="17" l="1"/>
  <c r="D76" i="17" s="1"/>
  <c r="D79" i="17" s="1"/>
  <c r="N36" i="17"/>
  <c r="N69" i="17" s="1"/>
  <c r="U36" i="17"/>
  <c r="K76" i="17" s="1"/>
  <c r="K79" i="17" s="1"/>
  <c r="U39" i="17"/>
  <c r="T36" i="17"/>
  <c r="K74" i="17" s="1"/>
  <c r="T39" i="17"/>
  <c r="B33" i="17"/>
  <c r="B41" i="17" s="1"/>
  <c r="H32" i="17"/>
  <c r="H33" i="17" s="1"/>
  <c r="H15" i="17"/>
  <c r="B40" i="17"/>
  <c r="B29" i="17"/>
  <c r="C39" i="17"/>
  <c r="C36" i="17"/>
  <c r="I40" i="17"/>
  <c r="N76" i="17"/>
  <c r="N79" i="17" s="1"/>
  <c r="I29" i="17"/>
  <c r="D55" i="21"/>
  <c r="B41" i="21"/>
  <c r="B38" i="21"/>
  <c r="I41" i="17" l="1"/>
  <c r="B55" i="21"/>
  <c r="N37" i="17"/>
  <c r="N38" i="17"/>
  <c r="K87" i="17"/>
  <c r="D74" i="17"/>
  <c r="D87" i="17" s="1"/>
  <c r="H41" i="17"/>
  <c r="I36" i="17"/>
  <c r="F76" i="17"/>
  <c r="I39" i="17"/>
  <c r="B39" i="17"/>
  <c r="B36" i="17"/>
  <c r="B37" i="17" s="1"/>
  <c r="H40" i="17"/>
  <c r="N74" i="17"/>
  <c r="N87" i="17" s="1"/>
  <c r="H29" i="17"/>
  <c r="F79" i="17" l="1"/>
  <c r="B79" i="17" s="1"/>
  <c r="B76" i="17"/>
  <c r="H36" i="17"/>
  <c r="F74" i="17"/>
  <c r="H39" i="17"/>
  <c r="B74" i="17" l="1"/>
  <c r="F87" i="17"/>
  <c r="H38" i="17"/>
  <c r="H37" i="17"/>
  <c r="B88" i="17" l="1"/>
  <c r="B87" i="17"/>
  <c r="AB38" i="17" l="1"/>
  <c r="AN39" i="21" l="1"/>
  <c r="D53" i="9" l="1"/>
  <c r="C39" i="21" l="1"/>
  <c r="A3" i="20" s="1"/>
  <c r="VJ39" i="21"/>
  <c r="G526" i="11" l="1"/>
  <c r="D39" i="21" l="1"/>
  <c r="B39" i="21" s="1"/>
  <c r="H17" i="14" l="1"/>
  <c r="I17" i="14" l="1"/>
  <c r="F11" i="14" l="1"/>
  <c r="D8" i="13"/>
  <c r="G11" i="14"/>
  <c r="I11" i="14"/>
  <c r="D11" i="13" l="1"/>
  <c r="D9" i="13" s="1"/>
  <c r="B17" i="14" l="1"/>
  <c r="C23" i="13"/>
  <c r="E17" i="14" l="1"/>
  <c r="C25" i="13"/>
  <c r="B23" i="13"/>
  <c r="C17" i="14"/>
  <c r="B25" i="13" l="1"/>
  <c r="E23" i="13"/>
  <c r="E25" i="13" s="1"/>
  <c r="D23" i="13"/>
  <c r="D25" i="13" s="1"/>
  <c r="F17" i="14"/>
  <c r="G17" i="14" l="1"/>
  <c r="E15" i="14" l="1"/>
  <c r="D15" i="14"/>
  <c r="D13" i="14"/>
  <c r="H13" i="14"/>
  <c r="D17" i="14"/>
  <c r="D19" i="14" s="1"/>
  <c r="D21" i="14" s="1"/>
  <c r="D22" i="14" s="1"/>
  <c r="B15" i="14" l="1"/>
  <c r="C19" i="13"/>
  <c r="I15" i="14"/>
  <c r="I19" i="14" s="1"/>
  <c r="I21" i="14" s="1"/>
  <c r="I22" i="14" s="1"/>
  <c r="C15" i="14"/>
  <c r="F13" i="14" l="1"/>
  <c r="D13" i="13"/>
  <c r="B19" i="13"/>
  <c r="C21" i="13"/>
  <c r="C13" i="13"/>
  <c r="B13" i="14"/>
  <c r="F15" i="14"/>
  <c r="D19" i="13"/>
  <c r="D21" i="13" s="1"/>
  <c r="C13" i="14"/>
  <c r="G13" i="14" l="1"/>
  <c r="B13" i="13"/>
  <c r="C14" i="13"/>
  <c r="B21" i="13"/>
  <c r="E19" i="13"/>
  <c r="E21" i="13" s="1"/>
  <c r="D14" i="13"/>
  <c r="D27" i="13"/>
  <c r="D28" i="13" s="1"/>
  <c r="G15" i="14"/>
  <c r="F19" i="14"/>
  <c r="H15" i="14"/>
  <c r="H19" i="14" s="1"/>
  <c r="H21" i="14" s="1"/>
  <c r="H22" i="14" s="1"/>
  <c r="F22" i="14" l="1"/>
  <c r="F21" i="14"/>
  <c r="E13" i="13"/>
  <c r="E14" i="13" s="1"/>
  <c r="B14" i="13"/>
  <c r="G19" i="14"/>
  <c r="G21" i="14" s="1"/>
  <c r="G22" i="14" l="1"/>
  <c r="B45" i="21" l="1"/>
  <c r="A45" i="21" l="1"/>
  <c r="C8" i="13" l="1"/>
  <c r="B11" i="14"/>
  <c r="B19" i="14" s="1"/>
  <c r="E11" i="14" l="1"/>
  <c r="E19" i="14" s="1"/>
  <c r="E21" i="14" s="1"/>
  <c r="E22" i="14" s="1"/>
  <c r="C11" i="14"/>
  <c r="C19" i="14" s="1"/>
  <c r="C21" i="14" s="1"/>
  <c r="B22" i="14"/>
  <c r="B21" i="14"/>
  <c r="C22" i="14"/>
  <c r="C27" i="13"/>
  <c r="C28" i="13" s="1"/>
  <c r="B8" i="13"/>
  <c r="C11" i="13"/>
  <c r="C9" i="13" s="1"/>
  <c r="E8" i="13" l="1"/>
  <c r="B11" i="13"/>
  <c r="B9" i="13" s="1"/>
  <c r="B27" i="13"/>
  <c r="E27" i="13" l="1"/>
  <c r="E28" i="13" s="1"/>
  <c r="E11" i="13"/>
  <c r="E9" i="13" s="1"/>
  <c r="D6" i="12" l="1"/>
  <c r="G53" i="9" l="1"/>
  <c r="F546" i="11" l="1"/>
  <c r="G546" i="11" s="1"/>
</calcChain>
</file>

<file path=xl/sharedStrings.xml><?xml version="1.0" encoding="utf-8"?>
<sst xmlns="http://schemas.openxmlformats.org/spreadsheetml/2006/main" count="3913" uniqueCount="1377">
  <si>
    <t>Иные межбюджетные трансферты на реализацию инициативных проектов в рамках инициативного бюджетирования</t>
  </si>
  <si>
    <t>Наименование ОКТМО (5 симв.)</t>
  </si>
  <si>
    <t>Код подраздела</t>
  </si>
  <si>
    <t>Код целевой статьи</t>
  </si>
  <si>
    <t>Код доп.классификации</t>
  </si>
  <si>
    <t>Наименование доп.классификации</t>
  </si>
  <si>
    <t>Бюджетная роспись (расходы)</t>
  </si>
  <si>
    <t>Кассовый расход</t>
  </si>
  <si>
    <t>ВСЕГО</t>
  </si>
  <si>
    <t>1403</t>
  </si>
  <si>
    <t>0503</t>
  </si>
  <si>
    <t>Грязинский муниципальный район</t>
  </si>
  <si>
    <t>1102</t>
  </si>
  <si>
    <t>Данковский муниципальный район</t>
  </si>
  <si>
    <t>90003002</t>
  </si>
  <si>
    <t>Данковский, Баловневский</t>
  </si>
  <si>
    <t>Добринский муниципальный район</t>
  </si>
  <si>
    <t>Долгоруковский муниципальный район</t>
  </si>
  <si>
    <t>Елецкий муниципальный район</t>
  </si>
  <si>
    <t>90007009</t>
  </si>
  <si>
    <t>Елец, Лавский</t>
  </si>
  <si>
    <t>Задонский муниципальный район</t>
  </si>
  <si>
    <t>Краснинский муниципальный район</t>
  </si>
  <si>
    <t>90010001</t>
  </si>
  <si>
    <t>Красное,Александровский</t>
  </si>
  <si>
    <t>Лебедянский муниципальный район</t>
  </si>
  <si>
    <t>Липецкий муниципальный район</t>
  </si>
  <si>
    <t>Тербунский муниципальный район</t>
  </si>
  <si>
    <t>Усманский муниципальный район</t>
  </si>
  <si>
    <t>Хлевенский муниципальный район</t>
  </si>
  <si>
    <t>Чаплыгинский муниципальный район</t>
  </si>
  <si>
    <t>Всего</t>
  </si>
  <si>
    <t>ФЕДЕРАЛЬНАЯ  СУБВЕНЦИЯ  НА  ВОИНСКИЙ  УЧЕТ</t>
  </si>
  <si>
    <t>Получатель</t>
  </si>
  <si>
    <t>Воловский муниципальный округ</t>
  </si>
  <si>
    <t>Отдел финансов администрации Воловского муниципального округа</t>
  </si>
  <si>
    <t>Администрация сельского поселения Большесамовецкий сельсовет Грязинского муниципального района</t>
  </si>
  <si>
    <t>Администрация сельского поселения Бутырский сельсовет Грязинского муниципального района</t>
  </si>
  <si>
    <t>Администрация сельского поселения Верхнетелелюйский сельсовет Грязинского муниципального района</t>
  </si>
  <si>
    <t>Администрация сельского поселения  Грязинский сельсовет Грязинского муниципального района</t>
  </si>
  <si>
    <t>Администрация  сельского поселения Двуреченский сельсовет Грязинского муниципального района</t>
  </si>
  <si>
    <t>Администрация сельского поселения Казинский сельсовет Грязинского муниципального района</t>
  </si>
  <si>
    <t>Администрация сельского поселения Карамышевский сельсовет Грязинского муниципального района</t>
  </si>
  <si>
    <t>Администрация сельского поселения Княжебайгорский сельсовет Грязинского муниципального района</t>
  </si>
  <si>
    <t>Администрация сельского поселения Коробовский сельсовет Грязинского муниципального района</t>
  </si>
  <si>
    <t>Администрация сельского поселения Кузовский сельсовет Грязинского муниципального района</t>
  </si>
  <si>
    <t>Администрация сельского поселения Петровский сельсовет Грязинского муниципального района</t>
  </si>
  <si>
    <t>Администрация сельского поселения Плехановский сельсовет Грязинского муниципального района</t>
  </si>
  <si>
    <t>Администрация сельского поселения Сошкинский сельсовет Грязинского муниципального района</t>
  </si>
  <si>
    <t>Администрация  сельского поселения Телелюйский сельсовет Грязинского муниципального района</t>
  </si>
  <si>
    <t>Администрация сельского поселения Фащевский сельсовет Грязинского муниципального района</t>
  </si>
  <si>
    <t>Администрация сельского поселения Ярлуковский сельсовет Грязинского муниципального района</t>
  </si>
  <si>
    <t>Администрация сельского поселения Баловневский сельсовет Данковского муниципального района</t>
  </si>
  <si>
    <t>Администрация сельского поселения Березовский сельсовет Данковского муниципального района</t>
  </si>
  <si>
    <t>Администрация сельского поселения Бигильдинский сельсовет Данковского муниципального района</t>
  </si>
  <si>
    <t>Администрация сельского поселения Воскресенский сельсовет Данковского муниципального района</t>
  </si>
  <si>
    <t>Администрация сельского поселения Кудрявщинский сельсовет Данковского муниципального района</t>
  </si>
  <si>
    <t>Администрация сельского поселения Малинковский сельсовет Данковского муниципального района</t>
  </si>
  <si>
    <t>Администрация сельского поселения Новоникольский сельсовет Данковского муниципального района</t>
  </si>
  <si>
    <t>Администрация сельского поселения Октябрьский сельсовет Данковского муниципального района</t>
  </si>
  <si>
    <t>Администрация сельского поселения Перехвальский сельсовет Данковского муниципального района</t>
  </si>
  <si>
    <t>Администрация сельского поселения Полибинский сельсовет Данковского муниципального района</t>
  </si>
  <si>
    <t>Администрация сельского поселения Спешнево-Ивановский сельсовет Данковского муниципального района</t>
  </si>
  <si>
    <t>Администрация сельского поселения Тепловский сельсовет Данковского муниципального района</t>
  </si>
  <si>
    <t>Администрация сельского поселения Требунский сельсовет Данковского муниципального района</t>
  </si>
  <si>
    <t>Администрация сельского поселения Ягодновский сельсовет Данковского муниципального района</t>
  </si>
  <si>
    <t>Администрация сельского поселения Березнеговатский сельсовет Добринского муниципального района</t>
  </si>
  <si>
    <t>Администрация сельского поселения Богородицкий сельсовет Добринского муниципального района</t>
  </si>
  <si>
    <t>Администрация сельского поселения Верхнематренский сельсовет Добринского муниципального района</t>
  </si>
  <si>
    <t>Администрация сельского поселения Демшинский сельсовета Добринского муниципального района</t>
  </si>
  <si>
    <t>Администрация сельского поселения Дубовской сельсовет Добринского муниципального района</t>
  </si>
  <si>
    <t>Администрация сельского поселения Дуровский сельсовет Добринского муниципального района</t>
  </si>
  <si>
    <t>Администрация сельского поселения Каверинский сельсовет Добринского муниципального района</t>
  </si>
  <si>
    <t>Администрация сельского поселения  Мазейский сельсовет Добринского муниципального района</t>
  </si>
  <si>
    <t>Администрация сельского поселения Нижнематренский сельсовет Добринского муниципального района</t>
  </si>
  <si>
    <t>Администрация сельского поселения Новочеркутинский сельсовет Добринского муниципального района</t>
  </si>
  <si>
    <t>Администрация сельского поселения Петровский сельсовет Добринского муниципального района</t>
  </si>
  <si>
    <t>Администрация сельского поселения Пушкинский сельсовет Добринского муниципального района</t>
  </si>
  <si>
    <t>Администрация сельского поселения Среднематренский сельсовет Добринского муниципального района</t>
  </si>
  <si>
    <t>Администрация сельского поселения Талицкий сельсовет Добринского муниципального района</t>
  </si>
  <si>
    <t>Администрация сельского поселения Тихвинский сельсовет Добринского муниципального района</t>
  </si>
  <si>
    <t>Администрация сельского поселения Хворостянский сельсовет Добринского муниципального района</t>
  </si>
  <si>
    <t>Добровский муниципальный округ</t>
  </si>
  <si>
    <t>Отдел финансов администрации Добровского муниципального округа</t>
  </si>
  <si>
    <t>Администрация Большебоевского сельсовета Долгоруковского района</t>
  </si>
  <si>
    <t>Администрация Верхнеломовецкого сельсовета Долгоруковского района</t>
  </si>
  <si>
    <t>Администрация Веселовского сельсовета Долгоруковского района</t>
  </si>
  <si>
    <t>Администрация сельского поселения Войсковоказинский сельсовет Долгоруковского муниципального района</t>
  </si>
  <si>
    <t>Администрация Вязовицкого сельсовета Долгоруковского района</t>
  </si>
  <si>
    <t>Администрация Грызловского сельсовета Долгоруковского района</t>
  </si>
  <si>
    <t>Администрация Долгушинского сельсовета Долгоруковского района</t>
  </si>
  <si>
    <t>Администрация Дубовецкого сельсовета Долгоруковского района</t>
  </si>
  <si>
    <t>Администрация Жерновского сельсовета Долгоруковского района</t>
  </si>
  <si>
    <t>Администрация Меньшеколодезского сельсовета Долгоруковского района</t>
  </si>
  <si>
    <t>Администрация Свишенского сельсовета Долгоруковского района</t>
  </si>
  <si>
    <t>Администрация Слепухинского сельсовета Долгоруковского района</t>
  </si>
  <si>
    <t>Администрация Стегаловского сельсовета Долгоруковского района</t>
  </si>
  <si>
    <t>Администрация сельского поселения Архангельский сельсовет Елецкого муниципального района</t>
  </si>
  <si>
    <t>Администрация сельского поселения Большеизвальский сельсовет Елецкого муниципального района</t>
  </si>
  <si>
    <t>Администрация сельского поселения Волчанский сельсовет Елецкого муниципального района</t>
  </si>
  <si>
    <t>Администрация сельского поселения Воронецкий сельсовет Елецкого муниципального района</t>
  </si>
  <si>
    <t>Администрация сельского поселения Голиковский сельсовет Елецкого муниципального района</t>
  </si>
  <si>
    <t>Администрация сельского поселения Елецкий сельсовет Елецкого муниципального района</t>
  </si>
  <si>
    <t>Администрация сельского поселения Казацкий сельсовет Елецкого муниципального района</t>
  </si>
  <si>
    <t>Администрация сельского поселения Колосовский сельсовет Елецкого муниципального района</t>
  </si>
  <si>
    <t>Администрация сельского поселения Лавский сельсовет Елецкого муниципального района</t>
  </si>
  <si>
    <t>Администрация сельского поселения Малобоевский сельсовет Елецкого муниципального района</t>
  </si>
  <si>
    <t>Администрация сельского поселения Нижневоргольский сельсовет Елецкого муниципального района</t>
  </si>
  <si>
    <t>Администрация сельского поселения Пищулинский сельсовет Елецкого муниципального района</t>
  </si>
  <si>
    <t>Администрация сельского поселения Сокольский сельсовет Елецкого муниципального района</t>
  </si>
  <si>
    <t>Администрация сельского поселения Федоровский сельсовет Елецкого муниципального района</t>
  </si>
  <si>
    <t>Администрация сельского поселения Черкасский сельсовет Елецкого муниципального района</t>
  </si>
  <si>
    <t>Администрация сельского поселения Болховской сельсовет Задонского муниципального района</t>
  </si>
  <si>
    <t>Администрация сельского поселения Бутырский сельсовет Задонского муниципального района</t>
  </si>
  <si>
    <t>Администрация сельского поселения Верхнеказаченский сельсовет Задонского муниципального района</t>
  </si>
  <si>
    <t>Администрация сельского поселения Верхнестуденецкий сельсовет Задонского муниципального района</t>
  </si>
  <si>
    <t>Администрация сельского поселения Гнилушинский сельсовет Задонского муниципального района</t>
  </si>
  <si>
    <t>Администрация сельского поселения Донской сельсовет Задонского муниципального района</t>
  </si>
  <si>
    <t>Администрация сельского поселения Калабинский сельсовет Задонского муниципального района</t>
  </si>
  <si>
    <t>Администрация сельского поселения Каменский сельсовет Задонского муниципального района</t>
  </si>
  <si>
    <t>Администрация сельского поселения Камышевский сельсовет Задонского муниципального района</t>
  </si>
  <si>
    <t>Администрация сельского поселения Кашарский сельсовет Задонского муниципального района</t>
  </si>
  <si>
    <t>Администрация сельского поселения Ксизовский сельсовет Задонского муниципального района</t>
  </si>
  <si>
    <t>Администрация сельского поселения Ольшанский сельсовет Задонского муниципального района</t>
  </si>
  <si>
    <t>Администрация сельского поселения Рогожинский сельсовет Задонского муниципального района</t>
  </si>
  <si>
    <t>Администрация сельского поселения Скорняковский сельсовет Задонского муниципального района</t>
  </si>
  <si>
    <t>Администрация сельского поселения Тимирязевский сельсовет Задонского муниципального района</t>
  </si>
  <si>
    <t>Администрация сельского поселения Хмелинецкий сельсовет Задонского муниципального района</t>
  </si>
  <si>
    <t>Администрация сельского поселения Юрьевский сельсовет Задонского муниципального района</t>
  </si>
  <si>
    <t>Отдел финансов администрации Измалковского муниципального округа</t>
  </si>
  <si>
    <t>Администрация  сельского поселения Александровский сельсовет Краснинского муниципального района</t>
  </si>
  <si>
    <t>Администрация сельского поселения Гудаловский сельсовет Краснинского муниципального района</t>
  </si>
  <si>
    <t>Администрация сельского поселения Дрезгаловский сельсовет Краснинского муниципального района</t>
  </si>
  <si>
    <t>Администрация сельского поселения Ищеинский сельсовет Краснинского муниципального района</t>
  </si>
  <si>
    <t>Администрация сельского поселения Сотниковский сельсовет Краснинского муниципального района</t>
  </si>
  <si>
    <t>Администрация сельского поселения Суходольский сельсовет Краснинского муниципального района</t>
  </si>
  <si>
    <t>Администрация сельского поселения Яблоновский сельсовет Краснинского муниципального района</t>
  </si>
  <si>
    <t>Администрация сельского поселения Агрономовский сельсовет Лебедянского муниципального района</t>
  </si>
  <si>
    <t>Администрация сельского поселения Большеизбищенский сельсовет Лебедянского муниципального района</t>
  </si>
  <si>
    <t>Администрация сельского поселения Большепоповский сельсовет Лебедянского муниципального района</t>
  </si>
  <si>
    <t>Администрация сельского поселения Волотовский сельсовет Лебедянского муниципального района</t>
  </si>
  <si>
    <t>Администрация сельского поселения Вязовский сельсовет Лебедянского муниципального района</t>
  </si>
  <si>
    <t>Администрация сельского поселения Докторовский сельсовет Лебедянского муниципального района</t>
  </si>
  <si>
    <t>Администрация сельского поселения Кузнецкий сельсовет Лебедянского муниципального района</t>
  </si>
  <si>
    <t>Администрация сельского поселения Куйманский сельсовет Лебедянского муниципального района</t>
  </si>
  <si>
    <t>Администрация сельского поселения Куликовский сельсовет Лебедянского муниципального района</t>
  </si>
  <si>
    <t>Администрация сельского поселения Ольховский сельсовет Лебедянского муниципального района</t>
  </si>
  <si>
    <t>Администрация сельского поселения Покрово-Казацкий сельсовет Лебедянского муниципального района</t>
  </si>
  <si>
    <t>Администрация сельского поселения Слободской сельсовет Лебедянского муниципального района</t>
  </si>
  <si>
    <t>Администрация сельского поселения Троекуровский сельсовет Лебедянского муниципального района</t>
  </si>
  <si>
    <t>Администрация сельского поселения Шовский сельсовет Лебедянского муниципального района</t>
  </si>
  <si>
    <t>Администрация сельского поселения Яблоневский сельсовет Лебедянского муниципального района</t>
  </si>
  <si>
    <t>Лев-Толстовский муниципальный район</t>
  </si>
  <si>
    <t>Администрация сельского поселения Гагаринский сельсовет Лев-Толстовского муниципального района</t>
  </si>
  <si>
    <t>Администрация сельского поселения Домачевский сельсовет Лев-Толстовского муниципального района</t>
  </si>
  <si>
    <t>Администрация сельского поселения Знаменский сельсовет Лев-Толстовского муниципального района</t>
  </si>
  <si>
    <t>Администрация сельского поселения Лев-Толстовский сельсовет</t>
  </si>
  <si>
    <t>Администрация сельского поселения Новочемодановский сельсовет Лев-Толстовского муниципального района</t>
  </si>
  <si>
    <t>Администрация сельского поселения Октябрьский сельсовет Лев-Толстовского муниципального района Липецкой области РФ</t>
  </si>
  <si>
    <t>Администрация сельского поселения Остро-Каменский сельсовет</t>
  </si>
  <si>
    <t>Администрация  сельского поселения Первомайский сельсовет Лев-Толстовского муниципального района</t>
  </si>
  <si>
    <t>Администрация сельского поселения Топовский сельсовет Лев-Толстовского муниципального района</t>
  </si>
  <si>
    <t>Администрация сельского поселения Троицкий сельсовет</t>
  </si>
  <si>
    <t>Администрация сельского поселения Большекузьминский сельсовет Липецкого муниципального района</t>
  </si>
  <si>
    <t>Администрация сельского поселения Боринский сельсовет Липецкого муниципального района</t>
  </si>
  <si>
    <t>Администрация  сельского поселения Васильевский сельсовет Липецкого муниципального района</t>
  </si>
  <si>
    <t>Администрация  сельского поселения Введенский сельсовет Липецкого муниципального района</t>
  </si>
  <si>
    <t>Администрация сельского поселения Вербиловский сельсовет Липецкого муниципального района</t>
  </si>
  <si>
    <t>Администрация сельского поселения Грязновский сельсовет Липецкого муниципального района</t>
  </si>
  <si>
    <t>Администрация сельского поселения Ивовский сельсовет Липецкого муниципального района</t>
  </si>
  <si>
    <t>Администрация сельского поселения Косыревский сельсовет Липецкого муниципального района</t>
  </si>
  <si>
    <t>Администрация сельского поселения Круто-Хуторской сельсовет Липецкого муниципального района</t>
  </si>
  <si>
    <t>Администрация сельского поселения Кузьмино-Отвержский сельсовет Липецкого муниципального района</t>
  </si>
  <si>
    <t>Администрация сельского поселения Ленинский сельсовет Липецкого муниципального района</t>
  </si>
  <si>
    <t>Администрация сельского поселения Лубновский сельсовет Липецкого муниципального района</t>
  </si>
  <si>
    <t>Администрация сельского поселения  Новодеревенский сельсовет Липецкого муниципального района</t>
  </si>
  <si>
    <t>Администрация сельского поселения Новодмитриевский сельсовет Липецкого муниципального района</t>
  </si>
  <si>
    <t>Администрация сельского поселения Падовский сельсовет Липецкого муниципального района</t>
  </si>
  <si>
    <t>Администрация сельского поселения Пружинский сельсовет Липецкого муниципального района</t>
  </si>
  <si>
    <t>Администрация сельского поселения Сенцовский сельсовет Липецкого муниципального района</t>
  </si>
  <si>
    <t>Администрация сельского поселения Стебаевский сельсовет Липецкого муниципального района</t>
  </si>
  <si>
    <t>Администрация сельского поселения Сырский сельсовет Липецкого муниципального района</t>
  </si>
  <si>
    <t>Администрация сельского поселения Тележенский сельсовет Липецкого муниципального района</t>
  </si>
  <si>
    <t>Администрация  сельского поселения Частодубравский сельсовет Липецкого муниципального района</t>
  </si>
  <si>
    <t>Становлянский муниципальный округ</t>
  </si>
  <si>
    <t>Отдел финансов администрации Становлянского муниципального округа</t>
  </si>
  <si>
    <t>Администрация сельского поселения Березовский сельсовет Тербунского муниципального района</t>
  </si>
  <si>
    <t>Администрация сельского поселения Большеполянский сельсовет Тербунского муниципального района</t>
  </si>
  <si>
    <t>Администрация сельского поселения Борковский сельсовет Тербунского муниципального района</t>
  </si>
  <si>
    <t>Администрация сельского поселения Вислополянский сельсовет Тербунского муниципального района</t>
  </si>
  <si>
    <t>Администрация сельского поселения Тербунский Второй сельсовет Тербунского муниципального района</t>
  </si>
  <si>
    <t>Администрация сельского поселения Зареченский сельсовет Тербунского муниципального района</t>
  </si>
  <si>
    <t>Администрация сельского поселения  Казинский сельсовет Тербунского муниципального района</t>
  </si>
  <si>
    <t>Администрация сельского поселения Кургано-Головинский сельсовет Тербунского муниципального района</t>
  </si>
  <si>
    <t>Администрация сельского поселения Новосильский сельсовет Тербунского муниципального района</t>
  </si>
  <si>
    <t>Администрация сельского поселения Озерский сельсовет Тербунского муниципального района</t>
  </si>
  <si>
    <t>Администрация сельского поселения Покровский сельсовет Тербунского муниципального района</t>
  </si>
  <si>
    <t>Администрация сельского поселения Солдатский сельсовет Тербунского муниципального района</t>
  </si>
  <si>
    <t>Администрация сельского поселения Тульский сельсовет Тербунского муниципального района</t>
  </si>
  <si>
    <t>Администрация сельского поселения Урицкий сельсовет Тербунского муниципального района</t>
  </si>
  <si>
    <t>Администрация сельского поселения Березняговский сельсовет Усманского муниципального района</t>
  </si>
  <si>
    <t>Администрация сельского поселения Боровской сельсовет Усманского муниципального района</t>
  </si>
  <si>
    <t>Администрация сельского поселения Бреславский сельсовет Усманского муниципального района</t>
  </si>
  <si>
    <t>Администрация сельского поселения Верхне-Мосоловский сельсовет Усманского муниципального района</t>
  </si>
  <si>
    <t>Администрация сельского поселения Грачевский сельсовет Усманского муниципального района</t>
  </si>
  <si>
    <t>Администрация сельского поселения Девицкий сельсовет Усманского муниципального района</t>
  </si>
  <si>
    <t>Администрация сельского поселения Дмитриевский сельсовет Усманского муниципального района</t>
  </si>
  <si>
    <t>Администрация сельского поселения Дрязгинский сельсовет Усманского муниципального района</t>
  </si>
  <si>
    <t>Администрация сельского поселения Завальновский сельсовет Усманского муниципального района</t>
  </si>
  <si>
    <t>Администрация сельского поселения Излегощенский сельсовет Усманского муниципального района</t>
  </si>
  <si>
    <t>Администрация сельского поселения Кривский сельсовет Усманского муниципального района</t>
  </si>
  <si>
    <t>Администрация сельского поселения Крутче-Байгорский сельсовет Усманского муниципального района</t>
  </si>
  <si>
    <t>Администрация сельского поселения Куликовский сельсовет Усманского муниципального района</t>
  </si>
  <si>
    <t>Администрация сельского поселения Никольский сельсовет Усманского муниципального района</t>
  </si>
  <si>
    <t>Администрация сельского поселения Октябрьский сельсовет Усманского муниципального района</t>
  </si>
  <si>
    <t>Администрация сельского поселения Пашковский сельсовет Усманского муниципального района</t>
  </si>
  <si>
    <t>Администрация сельского поселения Пластинский сельсовет Усманского муниципального района</t>
  </si>
  <si>
    <t>Администрация сельского поселения Поддубровский сельсовет Усманского муниципального района</t>
  </si>
  <si>
    <t>Администрация сельского поселения Пригородный сельсовет Усманского муниципального района</t>
  </si>
  <si>
    <t>Администрация сельского поселения Пушкарский сельсовет Усманского муниципального района</t>
  </si>
  <si>
    <t>Администрация сельского поселения Сторожевско-Хуторской сельсовет Усманского муниципального района</t>
  </si>
  <si>
    <t>Администрация сельского поселения Сторожевской сельсовет Усманского муниципального района</t>
  </si>
  <si>
    <t>Администрация сельского поселения Студено-Высельский сельсовет Усманского муниципального района</t>
  </si>
  <si>
    <t>Администрация сельского поселения Студенский сельсовет Усманского муниципального района</t>
  </si>
  <si>
    <t>Администрация сельского поселения Введенский сельсовет Хлевенского муниципального района</t>
  </si>
  <si>
    <t>Администрация сельского поселения Верхне-Колыбельский сельсовет Хлевенского муниципального района</t>
  </si>
  <si>
    <t>Администрация сельского поселения Воробьевский сельсовет Хлевенского муниципального района</t>
  </si>
  <si>
    <t>Администрация сельского поселения Ворон-Лозовский сельсовет Хлевенского муниципального района</t>
  </si>
  <si>
    <t>Администрация сельского поселения Дмитряшевский сельсовет Хлевенского муниципального района</t>
  </si>
  <si>
    <t>Администрация сельского поселения Елец-Маланинский сельсовет Хлевенского муниципального района</t>
  </si>
  <si>
    <t>Администрация сельского поселения Елецко-Лозовский сельсовет Хлевенского муниципального района</t>
  </si>
  <si>
    <t>Администрация сельского поселения Конь-Колодезский сельсовет Хлевенского муниципального района</t>
  </si>
  <si>
    <t>Администрация сельского поселения Малининский сельсовет Хлевенского муниципального района</t>
  </si>
  <si>
    <t>Администрация сельского поселения Нижне-Колыбельский сельсовет Хлевенского муниципального района</t>
  </si>
  <si>
    <t>Администрация сельского поселения Ново-Дубовский сельсовет Хлевенского муниципального района</t>
  </si>
  <si>
    <t>Администрация сельского поселения Отскоченский сельсовет Хлевенского муниципального района</t>
  </si>
  <si>
    <t>Администрация сельского поселения Синдякинский сельсовет Хлевенского муниципального района</t>
  </si>
  <si>
    <t>Администрация сельского поселения Фомино-Негачевский сельсовет Хлевенского муниципального района</t>
  </si>
  <si>
    <t>Администрация сельского поселения Братовский сельсовет Чаплыгинского муниципального района</t>
  </si>
  <si>
    <t>Администрация сельского поселения Буховской сельсовет Чаплыгинского муниципального района</t>
  </si>
  <si>
    <t>Администрация сельского поселения Ведновский сельсовет Чаплыгинского муниципального района</t>
  </si>
  <si>
    <t>Администрация сельского поселения Демкинский сельсовет Чаплыгинского муниципального района</t>
  </si>
  <si>
    <t>Администрация сельского поселения Дубовской сельсовет Чаплыгинского муниципального района</t>
  </si>
  <si>
    <t>Администрация сельского поселения Жабинский сельсовет Чаплыгинского муниципального района</t>
  </si>
  <si>
    <t>Администрация сельского поселения Зенкинский сельсовет Чаплыгинского муниципального района</t>
  </si>
  <si>
    <t>Администрация сельского поселения Истобенский сельсовет Чаплыгинского муниципального района</t>
  </si>
  <si>
    <t>Администрация сельского поселения Колыбельский сельсовет Чаплыгинского муниципального района</t>
  </si>
  <si>
    <t>Администрация сельского поселения Конюшковский сельсовет Чаплыгинского муниципального района</t>
  </si>
  <si>
    <t>Администрация сельского поселения Кривополянский сельсовет Чаплыгинского муниципального района</t>
  </si>
  <si>
    <t>Администрация сельского поселения Лозовский сельсовет Чаплыгинского муниципального района</t>
  </si>
  <si>
    <t>Администрация сельского поселения Ломовской сельсовет Чаплыгинского муниципального района</t>
  </si>
  <si>
    <t>Администрация сельского поселения Люблинский сельсовет Чаплыгинского муниципального района</t>
  </si>
  <si>
    <t>Администрация сельского поселения Новополянский сельсовет Чаплыгинского муниципального района</t>
  </si>
  <si>
    <t>Администрация сельского поселения Петелинский сельсовет Чаплыгинского муниципального района</t>
  </si>
  <si>
    <t>Администрация сельского поселения Пиковский сельсовет Чаплыгинского муниципального района</t>
  </si>
  <si>
    <t>Администрация сельского поселения Соловской сельсовет Чаплыгинского муниципального района</t>
  </si>
  <si>
    <t>Администрация сельского поселения Троекуровский сельсовет Чаплыгинского муниципального района</t>
  </si>
  <si>
    <t>Администрация сельского поселения Урусовский сельсовет Чаплыгинского муниципального района</t>
  </si>
  <si>
    <t>Администрация сельского поселения Шишкинский сельсовет Чаплыгинского муниципального района</t>
  </si>
  <si>
    <t>Администрация сельского поселения Юсовский сельсовет Чаплыгинского муниципального района</t>
  </si>
  <si>
    <t>УТОЧНЕННЫЙ  ПЛАН  И  ИСПОЛНЕНИЕ  ПО  ФЕДЕРАЛЬНОЙ  СУБСИДИИ</t>
  </si>
  <si>
    <t xml:space="preserve">     Наименование  муниципальных  образований</t>
  </si>
  <si>
    <t>без  публично-правовой компании "Фонд развития территорий"</t>
  </si>
  <si>
    <t>Субсидии  бюджетам  субъектов  Российской  Федерации  и  муниципальных  образований  (межбюджетные  субсидии) ( 000 2 02 20000 00 0000 150 )</t>
  </si>
  <si>
    <t>Годовой  план,  всего</t>
  </si>
  <si>
    <t>МР,  МО  и  ГО</t>
  </si>
  <si>
    <t>СП</t>
  </si>
  <si>
    <t>ГП</t>
  </si>
  <si>
    <t>Исполнено,  всего</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</si>
  <si>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</si>
  <si>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</si>
  <si>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</si>
  <si>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</si>
  <si>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</si>
  <si>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на модернизацию инфраструктуры общего образования в отдельных субъектах Российской Федерации  (000 2 02 25239 00 0000 150)</t>
  </si>
  <si>
    <t>Субсидии бюджетам на строительство и реконструкцию (модернизацию) объектов питьевого водоснабжения  (000 2 02 25243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</si>
  <si>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</si>
  <si>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на создание школ креативных индустрий   (000 2 02 25353 00 0000 150) </t>
  </si>
  <si>
    <t xml:space="preserve">Субсидии бюджетам на развитие транспортной инфраструктуры на сельских территориях   (000 2 02 25372 00 0000 150) </t>
  </si>
  <si>
    <t xml:space="preserve">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00 0000 150) </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</si>
  <si>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t>
  </si>
  <si>
    <t xml:space="preserve">Субсидии бюджетам на создание виртуальных концертных залов  (ООО 2 02 25453 00 0000 150 ) </t>
  </si>
  <si>
    <t xml:space="preserve">Субсидии бюджетам на создание модельных муниципальных библиотек  (ООО 2 02 25454 00 0000 150 ) </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</si>
  <si>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</si>
  <si>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</si>
  <si>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Субсидии бюджетам на проведение комплексных кадастровых работ  ( 000 2 02 25511 00 0000 150 )</t>
  </si>
  <si>
    <t>Субсидии бюджетам на развитие сети учреждений культурно-досугового типа  (000 2 02 25513 00 0000 150 )</t>
  </si>
  <si>
    <t>Субсидия бюджетам на поддержку отрасли культуры    ( 000 2 02 25519 00 0000 150 )</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</si>
  <si>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</si>
  <si>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 xml:space="preserve">Субсидии бюджетам на реализацию программ формирования современной городской среды   ( 000 2 02 25555 00 0000 150 )  </t>
  </si>
  <si>
    <t>Субсидии бюджетам на обеспечение комплексного развития сельских территорий  (000 2 02 25576 00 0000 150)</t>
  </si>
  <si>
    <t xml:space="preserve">Субсидии бюджетам на оснащение региональных и муниципальных театров   (000 2 02 25584 00 0000 150) </t>
  </si>
  <si>
    <t xml:space="preserve">Субсидии бюджетам на техническое оснащение муниципальных музеев   (000 2 02 25590 00 0000 150) </t>
  </si>
  <si>
    <t>Субсидии бюджетам на реконструкцию и капитальный ремонт муниципальных музеев  (000 2 02 25597 05 0000 150)</t>
  </si>
  <si>
    <t>Субсидии бюджетам муниципальных районов на реализацию мероприятий по модернизации школьных систем образования  (000 2 02 25750 05 0000 150)</t>
  </si>
  <si>
    <t>Субсидии бюджетам муниципальных районов на софинансирование закупки оборудования для создания «умных» спортивных площадок  (000 2 02 25753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</si>
  <si>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</si>
  <si>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</si>
  <si>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</si>
  <si>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 xml:space="preserve">Стимулирование программ развития жилищного строительства (предоставление субсидий местным бюджетам на реализацию муниципальных программ, направленных на стимулирование программ развития жилищного строительства в части объектов теплоснабжения)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</si>
  <si>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</si>
  <si>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</si>
  <si>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в рамках подпрограммы "Эффективное вовлечение в оборот земель сельскохозяйственного назначения и развитие мелиоративного комплекса Липецкой области"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</si>
  <si>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Проведение комплексных кадастровых работ</t>
  </si>
  <si>
    <t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</si>
  <si>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</si>
  <si>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</si>
  <si>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</si>
  <si>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Создание новых мест в общеобразовательных организациях</t>
  </si>
  <si>
    <t>Реализация мероприятий, направленных на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</si>
  <si>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</si>
  <si>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 xml:space="preserve">Реализация мероприятий, направленных на закупку оборудования для создания «умных» спортивных площадок </t>
  </si>
  <si>
    <t xml:space="preserve">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</si>
  <si>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</si>
  <si>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</si>
  <si>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годовой  план</t>
  </si>
  <si>
    <t>МР, МО  и  ГО</t>
  </si>
  <si>
    <t>факт</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</si>
  <si>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</si>
  <si>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</si>
  <si>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</si>
  <si>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</si>
  <si>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</si>
  <si>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</si>
  <si>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</si>
  <si>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</si>
  <si>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</si>
  <si>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</si>
  <si>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</si>
  <si>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</si>
  <si>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</si>
  <si>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</si>
  <si>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</si>
  <si>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</si>
  <si>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</si>
  <si>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</si>
  <si>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</si>
  <si>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 xml:space="preserve">  г. Елец</t>
  </si>
  <si>
    <t xml:space="preserve">  г. Липецк</t>
  </si>
  <si>
    <t>Итого по городам</t>
  </si>
  <si>
    <t xml:space="preserve">        ВСЕГО</t>
  </si>
  <si>
    <t>без  фондов  план</t>
  </si>
  <si>
    <t>без  фондов  факт</t>
  </si>
  <si>
    <t>городские округа - план</t>
  </si>
  <si>
    <t>городские округа - факт</t>
  </si>
  <si>
    <t>муниципальные  районы - план</t>
  </si>
  <si>
    <t>муниципальные  районы -  факт</t>
  </si>
  <si>
    <t>городские поселения - план</t>
  </si>
  <si>
    <t>городские поселения - факт</t>
  </si>
  <si>
    <t>сельские поселения - план</t>
  </si>
  <si>
    <t>сельские поселения - факт</t>
  </si>
  <si>
    <t>муниципальные  округа - план</t>
  </si>
  <si>
    <t>муниципальные  округа -  факт</t>
  </si>
  <si>
    <t>фонды  план</t>
  </si>
  <si>
    <t>фонды  факт</t>
  </si>
  <si>
    <t>СУБСИДИЯ  ПО  ВИДУ  РАСХОДА  523</t>
  </si>
  <si>
    <t>руб.</t>
  </si>
  <si>
    <t>Показатели</t>
  </si>
  <si>
    <t>Целевая  статья</t>
  </si>
  <si>
    <t>Годовой  план</t>
  </si>
  <si>
    <t>план  из  отчета</t>
  </si>
  <si>
    <t>факт  из  отчета</t>
  </si>
  <si>
    <t>отклонение  план</t>
  </si>
  <si>
    <t>отклонение  факт</t>
  </si>
  <si>
    <t>Распределено</t>
  </si>
  <si>
    <t>Перечислено</t>
  </si>
  <si>
    <t>СУБСИДИЯ  ПО  ВИДУ  РАСХОДА  522</t>
  </si>
  <si>
    <t>МЕНЯТЬ</t>
  </si>
  <si>
    <t xml:space="preserve">ФЕДЕРАЛЬНАЯ  СУБСИДИЯ  </t>
  </si>
  <si>
    <t>СВЕДЕНИЯ  О  НЕРАСПРЕДЕЛЕННЫХ  ИНЫХ  МЕЖБЮДЖЕТНЫХ  ТРАНСФЕРТАХ  В  2024  ГОДУ</t>
  </si>
  <si>
    <t>(вид  расхода  540  "Иные межбюджетные трансферты")</t>
  </si>
  <si>
    <t>руб.коп.</t>
  </si>
  <si>
    <t>Подраздел</t>
  </si>
  <si>
    <t>Нераспределенная  сумма</t>
  </si>
  <si>
    <t>0113</t>
  </si>
  <si>
    <t xml:space="preserve"> Другие общегосударственные вопросы</t>
  </si>
  <si>
    <t>в  том  числе</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</si>
  <si>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</si>
  <si>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99 9 00 55491</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</si>
  <si>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городских округов и муниципальных районов Липецкой области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</si>
  <si>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99 9 00 87100</t>
  </si>
  <si>
    <t xml:space="preserve">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</si>
  <si>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99 9 00 87120</t>
  </si>
  <si>
    <t>0408</t>
  </si>
  <si>
    <t>Транспорт</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</si>
  <si>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</si>
  <si>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08 4 02 87110</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</si>
  <si>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</si>
  <si>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08 4 02 97060</t>
  </si>
  <si>
    <t>Благоустройство</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</si>
  <si>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в рамках регионального проекта "Формирование комфортной городской среды" государственной программы Липецкой области "Формирование современной городской среды в Липецкой области" </t>
  </si>
  <si>
    <t>06 1 F2 А4240</t>
  </si>
  <si>
    <t>Финансовое обеспечение организации благоустройства территорий муниципальных образований в рамках комплекса процессных мероприятий «Формирование современной городской среды» государственной программы Липецкой области "Формирование современной городской среды в Липецкой области"</t>
  </si>
  <si>
    <t>06 4 03 87070</t>
  </si>
  <si>
    <t>0702</t>
  </si>
  <si>
    <t>Общее образование</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</si>
  <si>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</si>
  <si>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04 4 02 53030</t>
  </si>
  <si>
    <t>средства  федерального  бюджета</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</si>
  <si>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</si>
  <si>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04 2 01 87080</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</si>
  <si>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"Патриотическое воспитание граждан Российской Федерации" государственной программы Липецкой области "Реализация внутренней политики Липецкой области"</t>
  </si>
  <si>
    <t>20 1 EВ 51790</t>
  </si>
  <si>
    <t>0707</t>
  </si>
  <si>
    <t>Молодежная политика</t>
  </si>
  <si>
    <t xml:space="preserve">Реализация программы комплексного развития молодежной политики "Регион для молодых" в Липецкой области в рамках регионального проекта "Развитие системы поддержки молодежи ("Молодежь России")" государственной программы Липецкой области «Реализация внутренней политики Липецкой области» </t>
  </si>
  <si>
    <t>20 1 EГ 51160</t>
  </si>
  <si>
    <t>Массовый спорт</t>
  </si>
  <si>
    <t>Иной межбюджетный трансферт на строительство физкультурно-оздоровительного комплекса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</si>
  <si>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03 2 01 87090</t>
  </si>
  <si>
    <t>Иные  дотации</t>
  </si>
  <si>
    <t xml:space="preserve">Иные межбюджетные трансферты на реализацию инициативных проектов в рамках инициативного бюджетирования в рамках ведомственного проекта "Развитие механизма инициативного бюджетирования" государственной программы Липецкой области "Управление государственными финансами государственным долгом Липецкой области"  </t>
  </si>
  <si>
    <t>21 3 01 80090</t>
  </si>
  <si>
    <t>Прочие межбюджетные трансферты общего характера</t>
  </si>
  <si>
    <t>Иные межбюджетные трансферты местным бюджетам на проведение капитального ремонта объектов социальной сферы муниципальных образований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</si>
  <si>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09 3 01 87130</t>
  </si>
  <si>
    <t xml:space="preserve">областные  средства </t>
  </si>
  <si>
    <t>ВР  540</t>
  </si>
  <si>
    <t xml:space="preserve">федеральные  средства  </t>
  </si>
  <si>
    <t>отчет</t>
  </si>
  <si>
    <t>Социальные выплаты безработным гражданам и иным категориям граждан в соответствии с законодательством о занятости населения</t>
  </si>
  <si>
    <t>18 4 01 52900</t>
  </si>
  <si>
    <t>всего</t>
  </si>
  <si>
    <t>отклонение</t>
  </si>
  <si>
    <t>СВЕДЕНИЯ  О  НЕРАСПРЕДЕЛЕННОЙ  СУБВЕНЦИИ  В  2024  ГОДУ</t>
  </si>
  <si>
    <t>(вид  расхода  530  "Субвенции")</t>
  </si>
  <si>
    <t>СВЕДЕНИЯ  О  СУБСИДИИ  В  2024  ГОДУ</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</si>
  <si>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</si>
  <si>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Другие общегосударственные вопросы</t>
  </si>
  <si>
    <t xml:space="preserve">вид  расхода  521  </t>
  </si>
  <si>
    <t xml:space="preserve">вид  расхода  522  </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</si>
  <si>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</si>
  <si>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09 3 01 86010</t>
  </si>
  <si>
    <t xml:space="preserve">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 </t>
  </si>
  <si>
    <t>19 4 01 86470</t>
  </si>
  <si>
    <t>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</si>
  <si>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19 4 01 R5110</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</si>
  <si>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  </t>
  </si>
  <si>
    <t>19 4 02 86790</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</si>
  <si>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комплекса процессных мероприятий "Общественные организации и гражданское общество" государственной программы Липецкой области "Реализация внутренней политики Липецкой области"</t>
  </si>
  <si>
    <t>20 4 01 86670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</si>
  <si>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t>
  </si>
  <si>
    <t>20 4 03 86630</t>
  </si>
  <si>
    <t>0405</t>
  </si>
  <si>
    <t>Сельское хозяйство и рыболовство</t>
  </si>
  <si>
    <t>Подготовка проектов межевания земельных участков и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</si>
  <si>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17 2 05 R5990</t>
  </si>
  <si>
    <t>вид  расхода  523</t>
  </si>
  <si>
    <t>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</si>
  <si>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01 4 05 86430</t>
  </si>
  <si>
    <t xml:space="preserve">вид  расхода  523  </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</si>
  <si>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t>
  </si>
  <si>
    <t>08 1 R7 54010</t>
  </si>
  <si>
    <t>0409</t>
  </si>
  <si>
    <t>Дорожное хозяйство (дорожные фонды)</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</si>
  <si>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t>
  </si>
  <si>
    <t>07 2 03 R3722</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</si>
  <si>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t>
  </si>
  <si>
    <t>08 1 R1 53940</t>
  </si>
  <si>
    <t xml:space="preserve">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t>
  </si>
  <si>
    <t>08 1 R1 А3944</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</si>
  <si>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t>
  </si>
  <si>
    <t>08 3 01 86030</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</si>
  <si>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</si>
  <si>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08 4 01 86070</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</si>
  <si>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</si>
  <si>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08 4 01 86230</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</si>
  <si>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</si>
  <si>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1 F1 50213</t>
  </si>
  <si>
    <t>0412</t>
  </si>
  <si>
    <t>Другие вопросы в области национальной экономики</t>
  </si>
  <si>
    <t xml:space="preserve">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</si>
  <si>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09 2 01 98010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</si>
  <si>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в Липецкой области"</t>
  </si>
  <si>
    <t>15 4 01 86060</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</si>
  <si>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в Липецкой области"</t>
  </si>
  <si>
    <t>15 4 01 86860</t>
  </si>
  <si>
    <t>0501</t>
  </si>
  <si>
    <t>Жилищное хозяйство</t>
  </si>
  <si>
    <t xml:space="preserve">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</si>
  <si>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F3 67483</t>
  </si>
  <si>
    <t xml:space="preserve">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</si>
  <si>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F3 67484</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</si>
  <si>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t>
  </si>
  <si>
    <t xml:space="preserve">07 2 01 R5762 </t>
  </si>
  <si>
    <t>0502</t>
  </si>
  <si>
    <t>Коммунальное  хозяйство</t>
  </si>
  <si>
    <t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</si>
  <si>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F5 52432</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</si>
  <si>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</si>
  <si>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06 2 01 09507</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</si>
  <si>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</si>
  <si>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</si>
  <si>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</si>
  <si>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06 2 01 09607</t>
  </si>
  <si>
    <t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</si>
  <si>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06 2 01 86120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</si>
  <si>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</si>
  <si>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06 2 01 86390</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</si>
  <si>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</si>
  <si>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</si>
  <si>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</si>
  <si>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06 4 01 86490</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</si>
  <si>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</si>
  <si>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09 1 F1 50212</t>
  </si>
  <si>
    <t>08 4 F1 50212</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</si>
  <si>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</si>
  <si>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 xml:space="preserve">09 1 F1 50214 </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</si>
  <si>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</si>
  <si>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10 4 01 86180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</si>
  <si>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</si>
  <si>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11 3 02 86380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</si>
  <si>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</si>
  <si>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F2 54240</t>
  </si>
  <si>
    <t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t>
  </si>
  <si>
    <t>06 1 F2 55550</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</si>
  <si>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</si>
  <si>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1 F2 А5551</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</si>
  <si>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t>
  </si>
  <si>
    <t>07 2 02 R5763</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</si>
  <si>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</si>
  <si>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20 4 02 86650</t>
  </si>
  <si>
    <t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</si>
  <si>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R2991</t>
  </si>
  <si>
    <t>0505</t>
  </si>
  <si>
    <t>Другие вопросы в области жилищно-коммунального хозяйства</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</si>
  <si>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t>
  </si>
  <si>
    <t xml:space="preserve">07 2 01 R5768 </t>
  </si>
  <si>
    <t>0605</t>
  </si>
  <si>
    <t>Другие вопросы в области охраны окружающей среды</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</si>
  <si>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</si>
  <si>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11 3 02 86210</t>
  </si>
  <si>
    <t>0701</t>
  </si>
  <si>
    <t>Дошкольное образование</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</si>
  <si>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</si>
  <si>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01 4 05 86310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</si>
  <si>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</si>
  <si>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01 4 05 86130</t>
  </si>
  <si>
    <t>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t>
  </si>
  <si>
    <t>04 1 E1 52390</t>
  </si>
  <si>
    <t>Создание новых мест в общеобразовательных организациях в рамках регионального проекта "Современная школа" государственной программы Липецкой области "Развитие образования Липецкой области"</t>
  </si>
  <si>
    <t>04 1 E1 55200</t>
  </si>
  <si>
    <t>05 5 E1 55200</t>
  </si>
  <si>
    <t>Создание новых мест в общеобразовательных организациях в целях достижения значений дополнительного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t>
  </si>
  <si>
    <t>04 1 E1 Д5200</t>
  </si>
  <si>
    <t>вид  расхода  522</t>
  </si>
  <si>
    <t>Модернизация инфраструктуры общего образования в целях достижения значений базового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t>
  </si>
  <si>
    <t>04 1 E1 A2390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</si>
  <si>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t>
  </si>
  <si>
    <t>04 1 E2 50980</t>
  </si>
  <si>
    <t>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</si>
  <si>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04 2 01 86890</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</si>
  <si>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</si>
  <si>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04 2 01 86920</t>
  </si>
  <si>
    <t>Реализация мероприятий по модернизации школьных систем образования в целях достижения значений базового результата проекта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</si>
  <si>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A7500</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</si>
  <si>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</si>
  <si>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04 4 02 86560</t>
  </si>
  <si>
    <t>0703</t>
  </si>
  <si>
    <t>Дополнительное  образование  детей</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</si>
  <si>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в рамках регионального проекта "Культурная среда" государственной программы Липецкой области "Развитие культуры и туризма в Липецкой области"</t>
  </si>
  <si>
    <t>05 1 A1 Д5195</t>
  </si>
  <si>
    <t>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регионального проекта "Культурная среда" государственной программы Липецкой области "Развитие культуры и туризма в Липецкой области"</t>
  </si>
  <si>
    <t>05 1 A1 55198</t>
  </si>
  <si>
    <t>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t>
  </si>
  <si>
    <t>05 1 A1 5519Б</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</si>
  <si>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t>
  </si>
  <si>
    <t>05 4 02 R3530</t>
  </si>
  <si>
    <t>0709</t>
  </si>
  <si>
    <t>Другие  вопросы  в  области  образования</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</si>
  <si>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</si>
  <si>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04 4 02 86880</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</si>
  <si>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в рамках комплекса процессных мероприятий "Поддержка профессионального развития педагогического корпуса системы образования" государственной программы Липецкой области "Развитие образования Липецкой области"</t>
  </si>
  <si>
    <t>04 4 04 86910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</si>
  <si>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комплекса процессных мероприятий "Профилактика терроризма и экстремизма, минимизация и ликвидация последствий их проявлений на территории Липецкой области" государственной программы Липецкой области "Профилактика терроризма и экстремизма в Липецкой области"</t>
  </si>
  <si>
    <t>14 4 01 86160</t>
  </si>
  <si>
    <t>0801</t>
  </si>
  <si>
    <t>Культура</t>
  </si>
  <si>
    <t xml:space="preserve">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t>
  </si>
  <si>
    <t>05 1 A1 54540</t>
  </si>
  <si>
    <t xml:space="preserve">Развитие сети учреждений культурно-досугового типа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t>
  </si>
  <si>
    <t>05 1 A1 Д5131</t>
  </si>
  <si>
    <t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t>
  </si>
  <si>
    <t>05 1 A1 55131</t>
  </si>
  <si>
    <t xml:space="preserve">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</si>
  <si>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55840</t>
  </si>
  <si>
    <t xml:space="preserve">Техническое оснащение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</si>
  <si>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55900</t>
  </si>
  <si>
    <t xml:space="preserve">Реконструкция и капитальный ремонт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</si>
  <si>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55970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</si>
  <si>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регионального проекта "Творческие люди" государственной программы Липецкой области "Развитие культуры и туризма в Липецкой области"  </t>
  </si>
  <si>
    <t>05 1 A2 86280</t>
  </si>
  <si>
    <t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t>
  </si>
  <si>
    <t>05 1 A3 54530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</si>
  <si>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</si>
  <si>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R4660</t>
  </si>
  <si>
    <t xml:space="preserve">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</si>
  <si>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R4670</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</si>
  <si>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</si>
  <si>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 xml:space="preserve">05 4 02 R5191 </t>
  </si>
  <si>
    <t>Физическая  культура  и  спорт</t>
  </si>
  <si>
    <t>Массовый  спорт</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</si>
  <si>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государственной программы Липецкой области "Развитие физической культуры и спорта Липецкой области"</t>
  </si>
  <si>
    <t>03 1 P5 52281</t>
  </si>
  <si>
    <t>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</si>
  <si>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R7530</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</si>
  <si>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</si>
  <si>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03 4 01 86440</t>
  </si>
  <si>
    <t>Спорт высших достижений</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</si>
  <si>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</si>
  <si>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03 4 01 86820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</si>
  <si>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t>
  </si>
  <si>
    <t>07 2 04 R5766</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</si>
  <si>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</si>
  <si>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10 4 01 86080</t>
  </si>
  <si>
    <t>КС - 521</t>
  </si>
  <si>
    <t>ВР  521,  всего</t>
  </si>
  <si>
    <t>Отклонение</t>
  </si>
  <si>
    <t>отклонение  от  нераспределенной</t>
  </si>
  <si>
    <t>КС - 522</t>
  </si>
  <si>
    <t>ВР  522,  всего</t>
  </si>
  <si>
    <t>КС - 523</t>
  </si>
  <si>
    <t>ВР  523,  всего</t>
  </si>
  <si>
    <t>ВР  521</t>
  </si>
  <si>
    <t>ВР  522</t>
  </si>
  <si>
    <t>ВР  523</t>
  </si>
  <si>
    <t>генератор  отчетов  (Субсидия  МО  по  целевой  с  R с  fed)</t>
  </si>
  <si>
    <t xml:space="preserve"> публично-правовой компания "Фонд развития территорий"  </t>
  </si>
  <si>
    <t>КС</t>
  </si>
  <si>
    <t>годовой  план  МБТ_I  часть)</t>
  </si>
  <si>
    <t>отклонение  от  годового  плана</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</si>
  <si>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</si>
  <si>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08 5 03 86010</t>
  </si>
  <si>
    <t>СВЕДЕНИЯ  О  НЕРАСПРЕДЕЛЕННОЙ  ДОТАЦИИ  В  2024  ГОДУ</t>
  </si>
  <si>
    <t>(вид  расхода  512  "Иные дотации")</t>
  </si>
  <si>
    <t>Дотации местным бюджетам на поддержку мер по обеспечению сбалансированности бюджетов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</si>
  <si>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21 4 03 80030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</si>
  <si>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</si>
  <si>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21 4 03 80040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</si>
  <si>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</si>
  <si>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21 4 03 80050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</si>
  <si>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</si>
  <si>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21 4 03 80060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</si>
  <si>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</si>
  <si>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</si>
  <si>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</si>
  <si>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21 4 03 80080</t>
  </si>
  <si>
    <t>Справочно:</t>
  </si>
  <si>
    <t>нераспределенная  субсидия</t>
  </si>
  <si>
    <t>нераспределенная  субвенция</t>
  </si>
  <si>
    <t>нераспределенные  иные  МБТ</t>
  </si>
  <si>
    <t xml:space="preserve">Всего </t>
  </si>
  <si>
    <t>МЕЖБЮДЖЕТНЫЕ  ТРАНСФЕРТЫ  В  2024  ГОДУ</t>
  </si>
  <si>
    <t>Дотации бюджетам бюджетной системы Российской Федерации,  всего</t>
  </si>
  <si>
    <t>вид  расхода  511  "Дотации на выравнивание бюджетной обеспеченности"</t>
  </si>
  <si>
    <t>вид  расхода  512  "Иные дотации"</t>
  </si>
  <si>
    <t>Субсидии бюджетам бюджетной системы Российской Федерации (межбюджетные субсидии),  всего</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</si>
  <si>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</si>
  <si>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</si>
  <si>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вид  расхода  523  "Консолидированные  субсидии"</t>
  </si>
  <si>
    <t>Субвенции бюджетам бюджетной системы Российской Федерации,  всего</t>
  </si>
  <si>
    <t>вид  расхода  530  "Субвенции"</t>
  </si>
  <si>
    <t>Иные  межбюджетные  трансферты,  всего</t>
  </si>
  <si>
    <t>вид  расхода  540  "Иные межбюджетные трансферты"</t>
  </si>
  <si>
    <t>Исполнено</t>
  </si>
  <si>
    <t>в  рамках  государственных  программ</t>
  </si>
  <si>
    <t>из  них</t>
  </si>
  <si>
    <t>в  рамках  непрограммной  деятельности</t>
  </si>
  <si>
    <t>Дотации бюджетам бюджетной системы Российской Федерации</t>
  </si>
  <si>
    <t xml:space="preserve">Субсидии бюджетам бюджетной системы Российской Федерации (межбюджетные субсидии) </t>
  </si>
  <si>
    <t>Субвенции бюджетам бюджетной системы Российской Федерации</t>
  </si>
  <si>
    <t>Иные  межбюджетные  трансферты</t>
  </si>
  <si>
    <t>без  учета  дотации</t>
  </si>
  <si>
    <t>ФЕДЕРАЛЬНЫЕ  СРЕДСТВА  В  2024  ГОДУ</t>
  </si>
  <si>
    <t>тыс.руб.</t>
  </si>
  <si>
    <t>СУБСИДИЯ</t>
  </si>
  <si>
    <t>1.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государственной программы Липецкой области "Развитие физической культуры и спорта Липецкой области"  (ЦС  03 1 P5 52281)</t>
  </si>
  <si>
    <t>2. 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R7530)</t>
  </si>
  <si>
    <t>3. 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  (ЦС  04 1 E1 52390)</t>
  </si>
  <si>
    <t>4. Создание новых мест в общеобразовательных организациях в рамках регионального проекта "Современная школа" государственной программы Липецкой области "Развитие образования Липецкой области"  (ЦС  04 1 E1 55200)</t>
  </si>
  <si>
    <t>5.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  (ЦС  04 1 E2 50980)</t>
  </si>
  <si>
    <t>7. 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(ЦС  05 1 A1 55131)</t>
  </si>
  <si>
    <t>8.  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регионального проекта "Культурная среда" государственной программы Липецкой области "Развитие культуры и туризма в Липецкой области"  (ЦС  05 1 A1 55198)</t>
  </si>
  <si>
    <t>9.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  (ЦС  05 1 A1 5519Б)</t>
  </si>
  <si>
    <t>10. 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(ЦС  05 1 A1 54540)</t>
  </si>
  <si>
    <t>11. 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(ЦС  05 1 A1 55840)</t>
  </si>
  <si>
    <t>12. Техническое оснащение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(ЦС  05 1 A1 55900)</t>
  </si>
  <si>
    <t>13. Реконструкция и капитальный ремонт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(ЦС  05 1 A1 55970)</t>
  </si>
  <si>
    <t>14. 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(ЦС  05 1 A3 54530)</t>
  </si>
  <si>
    <t>15. 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R3530)</t>
  </si>
  <si>
    <t>16.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R4660)</t>
  </si>
  <si>
    <t>17.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R4670)</t>
  </si>
  <si>
    <t>18.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R5191)</t>
  </si>
  <si>
    <t>19.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F2 54240)</t>
  </si>
  <si>
    <t>20.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(ЦС  06 1 F2 55550)</t>
  </si>
  <si>
    <t>21.  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F5 52432)</t>
  </si>
  <si>
    <t>22.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R5762)</t>
  </si>
  <si>
    <t>23.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R5768)</t>
  </si>
  <si>
    <t>24.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 (ЦС  07 2 02 R5763)</t>
  </si>
  <si>
    <t>25.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(ЦС  07 2 03 R3722)</t>
  </si>
  <si>
    <t>26.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 (ЦС  07 2 04 R5766)</t>
  </si>
  <si>
    <t>27.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(ЦС  08 1 R1 53940)</t>
  </si>
  <si>
    <t>28.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  (ЦС  08 1 R7 54010)</t>
  </si>
  <si>
    <t>29.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F1 50212)</t>
  </si>
  <si>
    <t>30.  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09 1 F1 50213)</t>
  </si>
  <si>
    <t>31.  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F1 50214)</t>
  </si>
  <si>
    <t>32. Подготовка проектов межевания земельных участков и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R5990)</t>
  </si>
  <si>
    <t>33. 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 (ЦС  19 4 01 R5110)</t>
  </si>
  <si>
    <t>34.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R2991)</t>
  </si>
  <si>
    <t>ИТОГО  СУБСИДИЯ</t>
  </si>
  <si>
    <t>СУБВЕНЦИЯ</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</si>
  <si>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51340)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</si>
  <si>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51350)</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</si>
  <si>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51760)</t>
  </si>
  <si>
    <t>4.  Обеспечение бесплатного горячего питания обучающихся по образовательным программам начального общего образования  в рамках  комплекса процессных мероприятий "Совершенствование социальной поддержки семьи и детей"  государственной программы Липецкой области "Социальная поддержка граждан, реализация семейно-демографической политики Липецкой области"  (ЦС 01 4 03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</si>
  <si>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в рамках  комплекса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 государственной программы Липецкой области "Развитие культуры и туризма в Липецкой области"  (ЦС  05 4 04 59300)</t>
  </si>
  <si>
    <t>6.  Осуществление первичного воинского учета органами местного самоуправления поселений, муниципальных и городских округов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</si>
  <si>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</si>
  <si>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ИТОГО  СУБВЕНЦИЯ</t>
  </si>
  <si>
    <t>ИНЫЕ  МЕЖБЮДЖЕТНЫЕ  ТРАНСФЕРТЫ</t>
  </si>
  <si>
    <t>1.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и совершенствование системы общего и дополнительного образования" государственной программы Липецкой области "Развитие образования Липецкой области"  (ЦС  04 4 02 53030)</t>
  </si>
  <si>
    <t>2.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"Патриотическое воспитание граждан Российской Федерации" государственной программы Липецкой области "Реализация внутренней политики Липецкой области"  (ЦС  20 1 EВ 51790)</t>
  </si>
  <si>
    <t>3.  Реализация программы комплексного развития молодежной политики "Регион для молодых" в Липецкой области в рамках регионального проекта "Развитие системы поддержки молодежи ("Молодежь России")" государственной программы Липецкой области «Реализация внутренней политики Липецкой области»   (ЦС  20 1 EГ 51160)</t>
  </si>
  <si>
    <t>ИТОГО  ИНЫЕ  МБТ</t>
  </si>
  <si>
    <t>Всего  федеральные  средства</t>
  </si>
  <si>
    <t>Кроме  того,  средства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</si>
  <si>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F3 67483)</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</si>
  <si>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09507)</t>
  </si>
  <si>
    <t>ИТОГО</t>
  </si>
  <si>
    <t>УТОЧНЕННЫЙ  ПЛАН  И  ИСПОЛНЕНИЕ  ПО  СРЕДСТВАМ  ФЕДЕРАЛЬНОГО  БЮДЖЕТА</t>
  </si>
  <si>
    <t xml:space="preserve">Итого  средств,  поступившие от публично-правовой компании "Фонд развития территорий"  </t>
  </si>
  <si>
    <t>в  тос  числе</t>
  </si>
  <si>
    <t>Итого  средства  федерального  бюджета</t>
  </si>
  <si>
    <t>Субсидии бюджетам бюджетной системы Российской Федерации (межбюджетные субсидии)  ( 000 2 02 20000 00 0000 150 )</t>
  </si>
  <si>
    <t>Субвенции бюджетам бюджетной системы Российской Федерации  ( 000 2 02 30000 00 000 150 )</t>
  </si>
  <si>
    <t>Иные межбюджетные трансферты ( 000 2 02 40000 00 0000 150 )</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</si>
  <si>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</si>
  <si>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Субсидии бюджетам на проведение комплексных кадастровых работ  (000 2 02 25511 00 0000 150)</t>
  </si>
  <si>
    <t>Субсидии бюджетам на реконструкцию и капитальный ремонт муниципальных музеев  (000 2 02 25597 00 0000 150)</t>
  </si>
  <si>
    <t>Субсидии бюджетам на реализацию мероприятий по модернизации школьных систем образования  (000 2 02 25750 00 0000 150)</t>
  </si>
  <si>
    <t>Субсидии бюджетам на софинансирование закупки оборудования для создания «умных» спортивных площадок  (000 2 02 25753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</si>
  <si>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</si>
  <si>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</si>
  <si>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</si>
  <si>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</si>
  <si>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</si>
  <si>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</si>
  <si>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на  государственную  регистрацию  актов  гражданского  состояния    ( 000 2 02 35930 00 0000 150 )</t>
  </si>
  <si>
    <t>Межбюджетные трансферты, передаваемые бюджетам на реализацию программы комплексного развития молодежной политики в регионах Российской Федерации «Регион для молодых»  (000 2 02 45116 00 0000 150)</t>
  </si>
  <si>
    <t>Межбюджетные трансферты, передаваемые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</si>
  <si>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</si>
  <si>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</si>
  <si>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</si>
  <si>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</si>
  <si>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t>
  </si>
  <si>
    <t>Подготовка проектов межевания земельных участков и проведение кадастровых работ</t>
  </si>
  <si>
    <t xml:space="preserve">модернизация региональных и муниципальных детских школ искусств по видам искусств   </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</si>
  <si>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</si>
  <si>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</si>
  <si>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</si>
  <si>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</si>
  <si>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субвенция  МР</t>
  </si>
  <si>
    <t>районы</t>
  </si>
  <si>
    <t>муниципальные  округа</t>
  </si>
  <si>
    <t>городские  округа</t>
  </si>
  <si>
    <t>бухгалтерский  отчет</t>
  </si>
  <si>
    <t>Целевая  статья  06 1 F3 67483</t>
  </si>
  <si>
    <t>Целевая  статья  06 2 01 09507</t>
  </si>
  <si>
    <t>Целевая  статья  09 1 F1 50212</t>
  </si>
  <si>
    <t>Целевая  статья  09 1 F1 50213</t>
  </si>
  <si>
    <t>Целевая  статья  09 1 F1 50214</t>
  </si>
  <si>
    <t xml:space="preserve">Целевая  статья  04 1 Е2 50980  </t>
  </si>
  <si>
    <t xml:space="preserve">Целевая  статья  03 1 Р5 52281 </t>
  </si>
  <si>
    <t>Целевая  статья  04 1 Е1 52390</t>
  </si>
  <si>
    <t>Целевая  статья  06 1 F5 52432</t>
  </si>
  <si>
    <t>Целевая  статья  20 4 02 R2991</t>
  </si>
  <si>
    <t>Целевая  статья  05 4 02 R3530</t>
  </si>
  <si>
    <t>Целевая  статья  07 2 03 R3722</t>
  </si>
  <si>
    <t>Целевая  статья  08 1 R1 53940</t>
  </si>
  <si>
    <t>Целевая  статья  08 1 R7 54010</t>
  </si>
  <si>
    <t>Целевая  статья  06 1 F2 54240</t>
  </si>
  <si>
    <t>Целевая  статья  05 1 A3 54530</t>
  </si>
  <si>
    <t>Целевая  статья  05 1 A1 54540</t>
  </si>
  <si>
    <t xml:space="preserve">Целевая  статья  05 4 02 R4660  </t>
  </si>
  <si>
    <t xml:space="preserve">Целевая  статья  05 4 02 R4670  </t>
  </si>
  <si>
    <t>Целевая  статья  17 2 05 R5990</t>
  </si>
  <si>
    <t xml:space="preserve">Целевая  статья  19 4 01 R5110 </t>
  </si>
  <si>
    <t>Целевая  статья  05 1 A1 55131</t>
  </si>
  <si>
    <t>Целевая  статья 05 1 A1 5519Б</t>
  </si>
  <si>
    <t>Целевая  статья  05 1 A1 55198</t>
  </si>
  <si>
    <t xml:space="preserve">Целевая  статья  05 4 02 R5191 </t>
  </si>
  <si>
    <t xml:space="preserve">Целевая  статья  04 1 E1 55200  </t>
  </si>
  <si>
    <t>Целевая  статья  06 1 F2 55550</t>
  </si>
  <si>
    <t>Целевая  статья  07 2 02 R5763</t>
  </si>
  <si>
    <t>Целевая  статья  05 1 А1 55840</t>
  </si>
  <si>
    <t>Целевая  статья  05 1 A1 55900</t>
  </si>
  <si>
    <t>Целевая  статья  05 1 A1 55970</t>
  </si>
  <si>
    <t>Целевая  статья  03 2 01 R7530</t>
  </si>
  <si>
    <t>Целевая  статья  07 2 01 R5762</t>
  </si>
  <si>
    <t>Целевая  статья  07 2 01 R5768</t>
  </si>
  <si>
    <t>Целевая  статья  07 2 04 R5766</t>
  </si>
  <si>
    <t>Целевая  статья  99 9 00 51180</t>
  </si>
  <si>
    <t>Целевая  статья  99 9 00 51200</t>
  </si>
  <si>
    <t>Целевая  статья  01 4 01 51340</t>
  </si>
  <si>
    <t>Целевая  статья  01 4 01 51350</t>
  </si>
  <si>
    <t>Целевая  статья  01 4 01 51760</t>
  </si>
  <si>
    <t>Целевая  статья  01 4 03 R3040</t>
  </si>
  <si>
    <t>Целевая  статья  05 4 04 59300</t>
  </si>
  <si>
    <t>Целевая  статья  20 1 EГ 51160</t>
  </si>
  <si>
    <t>Целевая  статья  20 1 EВ 51790</t>
  </si>
  <si>
    <t>Целевая  статья  04 4 02 53030</t>
  </si>
  <si>
    <t xml:space="preserve">РАСПРЕДЕЛЕНИЕ  МЕЖБЮДЖЕТНЫХ  ТРАНСФЕРТОВ  МЕЖДУ  УРОВНЯМИ  БЮДЖЕТОВ  </t>
  </si>
  <si>
    <t>Наименование  муниципальных  образований</t>
  </si>
  <si>
    <t xml:space="preserve"> из  них</t>
  </si>
  <si>
    <t>СЕЛЬСКИЕ  ПОСЕЛЕНИЯ</t>
  </si>
  <si>
    <t>ГОРОДСКИЕ  ПОСЕЛЕНИЯ</t>
  </si>
  <si>
    <t>муниципальные  районы,  мунуципальные  округа,  городские  округа</t>
  </si>
  <si>
    <t>поселения</t>
  </si>
  <si>
    <t>дотация</t>
  </si>
  <si>
    <t>субсидия</t>
  </si>
  <si>
    <t>субвенция</t>
  </si>
  <si>
    <t>иные  межбюджетные  трансферты</t>
  </si>
  <si>
    <t>прочие  безв. поступления</t>
  </si>
  <si>
    <t>дотация  на  выравнивание</t>
  </si>
  <si>
    <t>дотация  на  сбалансированность</t>
  </si>
  <si>
    <t>дотации на поощрение достижения наилучших показателей деятельности органов местного самоуправления</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</si>
  <si>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</si>
  <si>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Субсидии бюджетам поселений на софинансирование капитальных вложений в объекты муниципальной собственности</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</si>
  <si>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</si>
  <si>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 xml:space="preserve">Субсидии бюджетам поселений на проведение комплексных кадастровых работ </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</si>
  <si>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</si>
  <si>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 xml:space="preserve">Субсидии бюджетам поселений на обустройство и восстановление воинских захоронений, находящихся в государственной собственности </t>
  </si>
  <si>
    <t xml:space="preserve">Субсидии бюджетам на развитие сети учреждений культурно-досугового типа  </t>
  </si>
  <si>
    <t xml:space="preserve">Субсидии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</si>
  <si>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 xml:space="preserve">субсидия на поддержку отрасли культуры  </t>
  </si>
  <si>
    <t xml:space="preserve">Субсидии бюджетам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</si>
  <si>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</si>
  <si>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 xml:space="preserve">Субсидии бюджетам поселений на обеспечение комплексного развития сельских территорий  </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</si>
  <si>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</si>
  <si>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 xml:space="preserve">Субсидии бюджетам поселений на реализацию мероприятий по стимулированию программ развития жилищного строительства субъектов Российской Федерации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</si>
  <si>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</si>
  <si>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Субсидии бюджетам поселений на техническое оснащение муниципальных музеев</t>
  </si>
  <si>
    <t xml:space="preserve">прочие  субсидии  </t>
  </si>
  <si>
    <t>субвенция  на  воинский  учет</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</si>
  <si>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</si>
  <si>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прочие межбюджетные трансферты, передаваемые бюджетам поселений</t>
  </si>
  <si>
    <t>всего  план</t>
  </si>
  <si>
    <t>всего  факт</t>
  </si>
  <si>
    <t>Всего  МБТ</t>
  </si>
  <si>
    <t>Дотация</t>
  </si>
  <si>
    <t>выравнивание</t>
  </si>
  <si>
    <t>сбалансированность</t>
  </si>
  <si>
    <t>гранты</t>
  </si>
  <si>
    <t>Субсидия</t>
  </si>
  <si>
    <t>Субвенция</t>
  </si>
  <si>
    <t>Иные  МБТ</t>
  </si>
  <si>
    <t xml:space="preserve">Субвенции  бюджетам  муниципальных  районов,  муниципальных  округов  и  городских  округов  на  выполнение  передаваемых  полномочий  субъектов  Российской  Федерации  </t>
  </si>
  <si>
    <t>руб.коп</t>
  </si>
  <si>
    <t>Закон Липецкой области от 02.09.2021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</si>
  <si>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педагогическим работникам, медицинским работникам образовательных организаций)</t>
    </r>
  </si>
  <si>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работникам учреждений культуры и искусства)</t>
    </r>
  </si>
  <si>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</si>
  <si>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</si>
  <si>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осуществления деятельности специалистов органов местного самоуправления по опеке и попечительству</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</si>
  <si>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</si>
  <si>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</si>
  <si>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</si>
  <si>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</si>
  <si>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11.12.2013  года  № 217-ОЗ  "О  нормативах  финансирования  муниципальных  дошкольных  образовательных  организаций" </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</si>
  <si>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</si>
  <si>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</si>
  <si>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</si>
  <si>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</si>
  <si>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</si>
  <si>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</si>
  <si>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</si>
  <si>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01 4 01 85190</t>
  </si>
  <si>
    <t>01 4 01 85251</t>
  </si>
  <si>
    <t>01 4 01 85252</t>
  </si>
  <si>
    <t>01 4 03 85080</t>
  </si>
  <si>
    <t>01 4 03 85130</t>
  </si>
  <si>
    <t>01 4 03 85440</t>
  </si>
  <si>
    <t xml:space="preserve">01 4 03 85460 </t>
  </si>
  <si>
    <t>01 4 04 85450</t>
  </si>
  <si>
    <t>04 4 02 85090</t>
  </si>
  <si>
    <t>04 4 02 85160</t>
  </si>
  <si>
    <t>04 4 02 85350</t>
  </si>
  <si>
    <t>04 4 02 85420</t>
  </si>
  <si>
    <t>05 4 04 85060</t>
  </si>
  <si>
    <t>09 4 01 85010</t>
  </si>
  <si>
    <t>13 4 01 85070</t>
  </si>
  <si>
    <t>17 4 03 85170</t>
  </si>
  <si>
    <t>17 4 03 85210</t>
  </si>
  <si>
    <t>18 4 03 85340</t>
  </si>
  <si>
    <t>99 9 00 85270</t>
  </si>
  <si>
    <t>муниципальные  районы</t>
  </si>
  <si>
    <t xml:space="preserve">Прочие  субсидии  бюджетам  поселений  </t>
  </si>
  <si>
    <t>руб. коп.</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</si>
  <si>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регионального проекта "Творческие люди" государственной программы Липецкой области "Развитие культуры и туризма в Липецкой области" </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</si>
  <si>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</si>
  <si>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</si>
  <si>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</si>
  <si>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 </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</si>
  <si>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</si>
  <si>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09 3 01 86010 - в  части  капремонта</t>
  </si>
  <si>
    <t xml:space="preserve">                    Прочие  субсидии  бюджетам  муниципальных  районов,  муниципальных  округов  и  городских  округов  </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</si>
  <si>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регионального проекта "Спорт-норма жизни" государственной программы Липецкой области "Развитие физической культуры и спорта Липецкой области"</t>
  </si>
  <si>
    <t>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</si>
  <si>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</si>
  <si>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</si>
  <si>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 xml:space="preserve">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 </t>
  </si>
  <si>
    <t>03 1 P5 86820</t>
  </si>
  <si>
    <t>06 2 01 97020 - казнач. Кредит</t>
  </si>
  <si>
    <t>Справочно:  бюджеты  поселений</t>
  </si>
  <si>
    <t>Всего  консолидированный  бюджет</t>
  </si>
  <si>
    <t xml:space="preserve">УТОЧНЕННЫЙ  ПЛАН  И  ИСПОЛНЕНИЕ  ПО  МЕЖБЮДЖЕТНЫМ  ТРАНСФЕРТАМ  </t>
  </si>
  <si>
    <t>Безвозмездные  поступления     (000 2 00 00000 00 0000 000)</t>
  </si>
  <si>
    <t>Дотации бюджетам бюджетной системы Российской Федерации  (000 2 02 10000 00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</si>
  <si>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</si>
  <si>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</si>
  <si>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</si>
  <si>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</si>
  <si>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</si>
  <si>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Дотации  на  выравнивание  бюджетной  обеспеченности   (000 2 02 15001 00 0000 150)</t>
  </si>
  <si>
    <t>Дотации  бюджетам  на  поддержку  мер  по  обеспечению  сбалансированности  бюджетов  (000 2 02 15002 00 0000 150)</t>
  </si>
  <si>
    <t>Дотации (гранты) бюджетам за достижение показателей деятельности органов местного самоуправления  (000 2 02 16549 00 0000 150)</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</si>
  <si>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</si>
  <si>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</si>
  <si>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</si>
  <si>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</si>
  <si>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  (000 2 02 20303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</si>
  <si>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</si>
  <si>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строительство и реконструкцию (модернизацию) объектов питьевого водоснабжения   (000 2 02 25243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</si>
  <si>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</si>
  <si>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</si>
  <si>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</si>
  <si>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</si>
  <si>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бюджетам на реализацию программ формирования современной городской среды  ( 000 2 02 25555 00 0000 150 )</t>
  </si>
  <si>
    <t>Прочие  субсидии    ( 000 2 02 29999 00 0000 150 )</t>
  </si>
  <si>
    <t>областная</t>
  </si>
  <si>
    <t>федеральная</t>
  </si>
  <si>
    <t>Субвенции местным бюджетам на выполнение передаваемых полномочий субъектов  Российской  Федерации   (000 2 02 30024 00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</si>
  <si>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</si>
  <si>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(000 2 02 35118 00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</si>
  <si>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</si>
  <si>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</si>
  <si>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</si>
  <si>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государственную  регистрацию  актов  гражданского  состояния   (000 2 02 35930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</si>
  <si>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</si>
  <si>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Прочие межбюджетные трансферты, передаваемые бюджетам  (000 2 02 49999 00 0000 150)</t>
  </si>
  <si>
    <t>Безвозмездные  поступления  от  других  бюджетов  бюджетной  системы  Российской  Федерации    (000 2 02 00000 00 0000 000)</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</si>
  <si>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</si>
  <si>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поселений  на  выравнивание  бюджетной  обеспеченности  </t>
  </si>
  <si>
    <t>В  ТОМ  ЧИСЛЕ</t>
  </si>
  <si>
    <t>Дотации  бюджетам  городских  округов  на  поддержку  мер  по  обеспечению  сбалансированности  бюджетов  (000 2 02 15002 04 0000 150)</t>
  </si>
  <si>
    <t>Дотации  бюджетам  поселений  на  поддержку  мер  по  обеспечению  сбалансированности  бюджетов</t>
  </si>
  <si>
    <t>Дотации (гранты) бюджетам городских округов за достижение показателей деятельности органов местного самоуправления  (000 2 02 16549 04 0000 150)</t>
  </si>
  <si>
    <t xml:space="preserve">Дотации (гранты) бюджетам поселений за достижение показателей деятельности органов местного самоуправления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</si>
  <si>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</si>
  <si>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</si>
  <si>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</si>
  <si>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04 0000 150)</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</si>
  <si>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</si>
  <si>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</si>
  <si>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</si>
  <si>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</si>
  <si>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Субсидии бюджетам городских округов на обеспечение мероприятий по модернизации систем коммунальной инфраструктуры за счет средств бюджетов  (000 2 02 20303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</si>
  <si>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</si>
  <si>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</si>
  <si>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04 0000 150 )</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</si>
  <si>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</si>
  <si>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городских округов на модернизацию инфраструктуры общего образования в отдельных субъектах Российской Федерации  (000 2 02 25239 04 0000 150)</t>
  </si>
  <si>
    <t>Субсидии бюджетам городских округов на строительство и реконструкцию (модернизацию) объектов питьевого водоснабжения   (000 2 02 25243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</si>
  <si>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</si>
  <si>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</si>
  <si>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 xml:space="preserve">Субсидии бюджетам городских округов на создание школ креативных индустрий   (000 2 02 25353 04 0000 150) </t>
  </si>
  <si>
    <t xml:space="preserve">Субсидии бюджетам городских округов на развитие транспортной инфраструктуры на сельских территориях   (000 2 02 25372 04 0000 150) </t>
  </si>
  <si>
    <t xml:space="preserve">Субсидии бюджетам городских округов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04 0000 150) </t>
  </si>
  <si>
    <t xml:space="preserve">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04 0000 150 ) </t>
  </si>
  <si>
    <t xml:space="preserve">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04 0000 150) </t>
  </si>
  <si>
    <t xml:space="preserve">Субсидии бюджетам городских округов на создание виртуальных концертных залов  (ООО 2 02 25453 04 0000 150 ) </t>
  </si>
  <si>
    <t xml:space="preserve">Субсидии бюджетам городских округов на создание модельных муниципальных библиотек  (ООО 2 02 25454 04 0000 150 )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</si>
  <si>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</si>
  <si>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</si>
  <si>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</si>
  <si>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городских округов на проведение комплексных кадастровых работ  ( 000 2 02 25511 04 0000 150 )</t>
  </si>
  <si>
    <t>Субсидии бюджетам поселений на проведение комплексных кадастровых работ</t>
  </si>
  <si>
    <t>Субсидии бюджетам городских округов на развитие сети учреждений культурно-досугового типа  (000 2 02 25513 04 0000 150 )</t>
  </si>
  <si>
    <t>Субсидия бюджетам поселений на развитие сети учреждений культурно-досугового типа</t>
  </si>
  <si>
    <t>Субсидия бюджетам городских округов на поддержку отрасли культуры    ( 000 2 02 25519 04 0000 150 )</t>
  </si>
  <si>
    <t xml:space="preserve">Субсидия бюджетам поселений на поддержку отрасли культуры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</si>
  <si>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</si>
  <si>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</si>
  <si>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поселений на реализацию программ формирования современной городской среды</t>
  </si>
  <si>
    <t>Субсидии бюджетам городских округов на обеспечение комплексного развития сельских территорий  (000 2 02 25576 04 0000 150)</t>
  </si>
  <si>
    <t xml:space="preserve">Субсидии бюджетам городских округов на оснащение региональных и муниципальных театров   (000 2 02 25584 04 0000 150) </t>
  </si>
  <si>
    <t xml:space="preserve">Субсидии бюджетам городских округов на техническое оснащение муниципальных музеев   (000 2 02 25590 04 0000 150) </t>
  </si>
  <si>
    <t>Субсидии бюджетам городских округов на реконструкцию и капитальный ремонт муниципальных музеев  (000 2 02 25597 04 0000 150)</t>
  </si>
  <si>
    <t>Субсидии бюджетам городских округов на реализацию мероприятий по модернизации школьных систем образования  (000 2 02 25750 04 0000 150)</t>
  </si>
  <si>
    <t>Субсидии бюджетам городских округов на софинансирование закупки оборудования для создания «умных» спортивных площадок  (000 2 02 25753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</si>
  <si>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</si>
  <si>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Прочие  субсидии  бюджетам  городских  округов      ( 000 2 02 29999 04 0000 150 )</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</si>
  <si>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</si>
  <si>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</si>
  <si>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(000 2 02 35118 14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</si>
  <si>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  (000 2 02 35118 10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</si>
  <si>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</si>
  <si>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</si>
  <si>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</si>
  <si>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</si>
  <si>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</si>
  <si>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городских  округов  на  государственную  регистрацию  актов  гражданского  состояния    (000 2 02 35930 04 0000 150)</t>
  </si>
  <si>
    <t>Межбюджетные трансферты, передаваемые бюджетам городских округов на реализацию программы комплексного развития молодежной политики в регионах Российской Федерации «Регион для молодых»  (000 2 02 45116 04 0000 150)</t>
  </si>
  <si>
    <t>Межбюджетные трансферты, передаваемые бюджетам городских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</si>
  <si>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</si>
  <si>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</si>
  <si>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</si>
  <si>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поселений</t>
  </si>
  <si>
    <t>Получение  бюджетных  кредитов  от  других  бюджетов  бюджетной  системы  Российской  Федерации  бюджетами  городских  округов  ( 000 01 03 00 00 04 0000 700 )</t>
  </si>
  <si>
    <t>Получение  бюджетных  кредитов  от  других  бюджетов  бюджетной  системы  Российской  Федерации  бюджетами  поселений</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</si>
  <si>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</si>
  <si>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поселений</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</si>
  <si>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</si>
  <si>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</si>
  <si>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</si>
  <si>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бюджетам  муниципальных  районов  на  поддержку  мер  по  обеспечению  сбалансированности  бюджетов  (000 2 02 15002 05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</si>
  <si>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</si>
  <si>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</si>
  <si>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Дотации (гранты) бюджетам муниципальных районов за достижение показателей деятельности органов местного самоуправления  (000 2 02 16549 05 0000 150)</t>
  </si>
  <si>
    <t>Дотации (гранты) бюджетам сельских поселений за достижение показателей деятельности органов местного самоуправления  (000 2 02 16549 10 0000 150)</t>
  </si>
  <si>
    <t>Дотации (гранты) бюджетам городских поселений за достижение показателей деятельности органов местного самоуправления  (000 2 02 16549 13 0000 150)</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</si>
  <si>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</si>
  <si>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</si>
  <si>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</si>
  <si>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</si>
  <si>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</si>
  <si>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</si>
  <si>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</si>
  <si>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</si>
  <si>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13 0000 150)</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</si>
  <si>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</si>
  <si>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</si>
  <si>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</si>
  <si>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</si>
  <si>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  (000 2 02 20303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</si>
  <si>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</si>
  <si>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      (000 2 02 25021 10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</si>
  <si>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     (000 2 02 25021 13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</si>
  <si>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</si>
  <si>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05 0000 150 )</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</si>
  <si>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</si>
  <si>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Субсидии бюджетам муниципальных районов на модернизацию инфраструктуры общего образования в отдельных субъектах Российской Федерации  (000 2 02 25239 05 0000 150)</t>
  </si>
  <si>
    <t>Субсидии бюджетам муниципальных районов на строительство и реконструкцию (модернизацию) объектов питьевого водоснабжения   (000 2 02 25243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</si>
  <si>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</si>
  <si>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</si>
  <si>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</si>
  <si>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 xml:space="preserve">Субсидии бюджетам муниципальных районов на создание школ креативных индустрий   (000 2 02 25353 05 0000 150) </t>
  </si>
  <si>
    <t xml:space="preserve">Субсидии бюджетам муниципальных районов на развитие транспортной инфраструктуры на сельских территориях   (000 2 02 25372 05 0000 150) </t>
  </si>
  <si>
    <t xml:space="preserve">Субсидии бюджетам муниципальных районов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05 0000 150) </t>
  </si>
  <si>
    <t xml:space="preserve">Субсидии бюджетам сельских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10 0000 150) </t>
  </si>
  <si>
    <t xml:space="preserve">Субсидии бюджетам городских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13 0000 150) </t>
  </si>
  <si>
    <t xml:space="preserve">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05 0000 150 ) </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</si>
  <si>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05 0000 150) </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</si>
  <si>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10 0000 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</si>
  <si>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13 0000 150)</t>
  </si>
  <si>
    <t xml:space="preserve">Субсидии бюджетам муниципальных районов на создание виртуальных концертных залов  (ООО 2 02 25453 05 0000 150 ) </t>
  </si>
  <si>
    <t xml:space="preserve">Субсидии бюджетам муниципальных районов на создание модельных муниципальных библиотек  (ООО 2 02 25454 05 0000 150 )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</si>
  <si>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</si>
  <si>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</si>
  <si>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</si>
  <si>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</si>
  <si>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муниципальных районов на проведение комплексных кадастровых работ  ( 000 2 02 25511 05 0000 150 )</t>
  </si>
  <si>
    <t>Субсидии бюджетам сельских поселений на проведение комплексных кадастровых работ  ( 000 2 02 25511 10 0000 150 )</t>
  </si>
  <si>
    <t>Субсидии бюджетам городских поселений на проведение комплексных кадастровых работ  ( 000 2 02 25511 13 0000 150 )</t>
  </si>
  <si>
    <t>Субсидии бюджетам муниципальных районов на развитие сети учреждений культурно-досугового типа  (000 2 02 25513 05 0000 150 )</t>
  </si>
  <si>
    <t>Субсидия бюджетам сельских поселений на развитие сети учреждений культурно-досугового типа   (000 2 02 25513 10 0000 150 )</t>
  </si>
  <si>
    <t>Субсидия бюджетам городских поселений на развитие сети учреждений культурно-досугового типа   (000 2 02 25513 13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</si>
  <si>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</si>
  <si>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</si>
  <si>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</si>
  <si>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</si>
  <si>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Субсидии бюджетам муниципальных районов на реализацию программ формирования современной городской среды   ( 000 2 02 25555 05 0000 150 )</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</si>
  <si>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</si>
  <si>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</si>
  <si>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муниципальных районов на обеспечение комплексного развития сельских территорий  (000 2 02 25576 05 0000 150)</t>
  </si>
  <si>
    <t>Субсидии бюджетам сельских поселений на обеспечение комплексного развития сельских территорий  (000 2 02 25576 10 0000 150)</t>
  </si>
  <si>
    <t>Субсидии бюджетам городских поселений на обеспечение комплексного развития сельских территорий  (000 2 02 25576 13 0000 150)</t>
  </si>
  <si>
    <t xml:space="preserve">Субсидии бюджетам муниципальных районов на оснащение региональных и муниципальных театров   (000 2 02 25584 05 0000 150) </t>
  </si>
  <si>
    <t xml:space="preserve">Субсидии бюджетам муниципальных районов на техническое оснащение муниципальных музеев   (000 2 02 25590 05 0000 150) </t>
  </si>
  <si>
    <t xml:space="preserve">Субсидии бюджетам сельских поселений на техническое оснащение муниципальных музеев (000 2 02 25590 10 0000 150) </t>
  </si>
  <si>
    <t xml:space="preserve">Субсидии бюджетам городских поселений на техническое оснащение муниципальных музеев  (000 2 02 25590 13 0000 150) </t>
  </si>
  <si>
    <t>Субсидии бюджетам муниципальных районов на реконструкцию и капитальный ремонт муниципальных музеев  (000 2 02 25597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</si>
  <si>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</si>
  <si>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</si>
  <si>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</si>
  <si>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Прочие  субсидии  бюджетам  муниципальных  районов      ( 000 2 02 29999 05 0000 150 )</t>
  </si>
  <si>
    <t>Прочие  субсидии  бюджетам  сельских  поселений  (000 2 02 29999 10 0000 150)</t>
  </si>
  <si>
    <t>Прочие  субсидии  бюджетам  городских  поселений  (000 2 02 29999 13 0000 150)</t>
  </si>
  <si>
    <t>Субвенции бюджетам муниципальных районов на выполнение передаваемых полномочий субъектов  Российской  Федерации  (000 2 02 30024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</si>
  <si>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</si>
  <si>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</si>
  <si>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</si>
  <si>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</si>
  <si>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</si>
  <si>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</si>
  <si>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Субвенции  бюджетам  муниципальных  районов  на  государственную  регистрацию  актов  гражданского  состояния (000 2 02 35930 05 0000 150)</t>
  </si>
  <si>
    <t>Межбюджетные трансферты, передаваемые бюджетам муниципальных районов на реализацию программы комплексного развития молодежной политики в регионах Российской Федерации «Регион для молодых»  (000 2 02 45116 05 0000 150)</t>
  </si>
  <si>
    <t>Межбюджетные трансферты, передаваемые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</si>
  <si>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</si>
  <si>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</si>
  <si>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</si>
  <si>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</si>
  <si>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</si>
  <si>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</si>
  <si>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</si>
  <si>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Получение  бюджетных  кредитов  от  других  бюджетов  бюджетной  системы  Российской  Федерации  бюджетами  муниципальных  районов  ( 000 01 03 00 00 05 0000 700 )</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</si>
  <si>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</si>
  <si>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</si>
  <si>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</si>
  <si>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</si>
  <si>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</si>
  <si>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 xml:space="preserve">Дотации  бюджетам  муниципальных  округов  на  выравнивание  бюджетной  обеспеченности из бюджета субъекта Российской Федерации  (000 2 02 15001 14 0000 150)  </t>
  </si>
  <si>
    <t>Дотации  бюджетам  муниципальных  округов  на  поддержку  мер  по  обеспечению  сбалансированности  бюджетов  (000 2 02 15002 14 0000 150)</t>
  </si>
  <si>
    <t>Дотации (гранты) бюджетам муниципальных округов за достижение показателей деятельности органов местного самоуправления  (000 2 02 16549 14 0000 150)</t>
  </si>
  <si>
    <t xml:space="preserve">Субсидии бюджетам муниципальных округов на софинансирование капитальных вложений в объекты муниципальной собственности   (000 2 02 20077 14 0000 150)   </t>
  </si>
  <si>
    <t xml:space="preserve">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14 0000 150)  </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</si>
  <si>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14 0000 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</si>
  <si>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</si>
  <si>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</si>
  <si>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  (000 2 02 20303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</si>
  <si>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   (000 2 02 25021 14 0000 150)</t>
  </si>
  <si>
    <t>Субсидии бюджетам муниципальных округов на реализацию мероприятий государственной программы Российской Федерации "Доступная среда"  (000 2 02 25027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</si>
  <si>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14 0000 150 )</t>
  </si>
  <si>
    <t>Субсидии бюджетам муниципальных округов на оснащение объектов спортивной инфраструктуры спортивно-технологическим оборудованием  (000 2 02 25228 14 0000 150)</t>
  </si>
  <si>
    <t>Субсидии бюджетам муниципальных округов на модернизацию инфраструктуры общего образования в отдельных субъектах Российской Федерации  (000 2 02 25239 14 0000 150)</t>
  </si>
  <si>
    <t>Субсидии бюджетам муниципальных округов на строительство и реконструкцию (модернизацию) объектов питьевого водоснабжения   (000 2 02 25243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</si>
  <si>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14 0000 150)</t>
  </si>
  <si>
    <t xml:space="preserve">Субсидии бюджетам муниципальных округов на создание школ креативных индустрий   (000 2 02 25353 14 0000 150) </t>
  </si>
  <si>
    <t xml:space="preserve">Субсидии бюджетам муниципальных округов на развитие транспортной инфраструктуры на сельских территориях   (000 2 02 25372 14 0000 150) </t>
  </si>
  <si>
    <t xml:space="preserve">Субсидии бюджетам муниципальных округов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14 0000 150) </t>
  </si>
  <si>
    <t xml:space="preserve">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14 0000 150 ) </t>
  </si>
  <si>
    <t xml:space="preserve">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14 0000 150) </t>
  </si>
  <si>
    <t xml:space="preserve">Субсидии бюджетам муниципальных округов на создание виртуальных концертных залов  (ООО 2 02 25453 14 0000 150 ) </t>
  </si>
  <si>
    <t xml:space="preserve">Субсидии бюджетам муниципальных округов на создание модельных муниципальных библиотек  (ООО 2 02 25454 14 0000 150 ) </t>
  </si>
  <si>
    <t xml:space="preserve">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14 0000 150) </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</si>
  <si>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14 0000 150 )</t>
  </si>
  <si>
    <t>Субсидии бюджетам муниципальных округов на проведение комплексных кадастровых работ  ( 000 2 02 25511 14 0000 150 )</t>
  </si>
  <si>
    <t>Субсидии бюджетам муниципальных округов на развитие сети учреждений культурно-досугового типа  (000 2 02 25513 14 0000 150 )</t>
  </si>
  <si>
    <t>Субсидия бюджетам муниципальных округов на поддержку отрасли культуры    ( 000 2 02 25519 14 0000 150 )</t>
  </si>
  <si>
    <t>Субсидии бюджетам муниципальных округов на реализацию мероприятий по содействию созданию в субъектах Российской Федерации новых мест в общеобразовательных организациях   ( 000 2 02 25520 14 0000 150 )</t>
  </si>
  <si>
    <t>Субсидии бюджетам муниципальных округов на реализацию программ формирования современной городской среды   ( 000 2 02 25555 14 0000 150 )</t>
  </si>
  <si>
    <t>Субсидии бюджетам муниципальных округов на обеспечение комплексного развития сельских территорий  (000 2 02 25576 14 0000 150)</t>
  </si>
  <si>
    <t xml:space="preserve">Субсидии бюджетам муниципальных округов на оснащение региональных и муниципальных театров   (000 2 02 25584 14 0000 150) </t>
  </si>
  <si>
    <t xml:space="preserve">Субсидии бюджетам муниципальных округов на техническое оснащение муниципальных музеев   (000 2 02 25590 14 0000 150) </t>
  </si>
  <si>
    <t>Субсидии бюджетам муниципальных округов на реконструкцию и капитальный ремонт муниципальных музеев  (000 2 02 25597 14 0000 150)</t>
  </si>
  <si>
    <t>Субсидии бюджетам муниципальных округов на реализацию мероприятий по модернизации школьных систем образования  (000 2 02 25750 14 0000 150)</t>
  </si>
  <si>
    <t>Субсидии бюджетам муниципальных округов на софинансирование закупки оборудования для создания «умных» спортивных площадок  (000 2 02 25753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</si>
  <si>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14 0000 150)</t>
  </si>
  <si>
    <t>Прочие  субсидии  бюджетам  муниципальных  округов   ( 000 2 02 29999 14 0000 150 )</t>
  </si>
  <si>
    <t>Субвенции бюджетам муниципальных округов на выполнение передаваемых полномочий субъектов  Российской  Федерации  (000 2 02 30024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</si>
  <si>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       (000 2 02 30027 14 0000 150)</t>
  </si>
  <si>
    <t xml:space="preserve"> Субвенции бюджетам муниципальных округов на составление (изменение) списков кандидатов в присяжные заседатели федеральных судов общей юрисдикции в Российской Федерации   (000 2 02 35120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</si>
  <si>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</si>
  <si>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(000 2 02 35135 14 0000 150)</t>
  </si>
  <si>
    <t>Субвенции бюджетам муниципальных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</si>
  <si>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14 0000 150)</t>
  </si>
  <si>
    <t>Субвенции  бюджетам  муниципальных  округов  на  государственную  регистрацию  актов  гражданского  состояния (000 2 02 35930 14 0000 150)</t>
  </si>
  <si>
    <t>Межбюджетные трансферты, передаваемые бюджетам муниципальных округов на реализацию программы комплексного развития молодежной политики в регионах Российской Федерации «Регион для молодых»  (000 2 02 45116 14 0000 150)</t>
  </si>
  <si>
    <t>Межбюджетные трансферты, передаваемые бюджетам муниципальных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</si>
  <si>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</si>
  <si>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14 0000 150)</t>
  </si>
  <si>
    <t>Прочие межбюджетные трансферты, передаваемые бюджетам муниципальных округов  (2 02 49999 14 0000 150)</t>
  </si>
  <si>
    <t>Получение  бюджетных  кредитов  от  других  бюджетов  бюджетной  системы  Российской  Федерации  бюджетами  муниципальных  округов  ( 000 01 03 00 00 14 0000 700 )</t>
  </si>
  <si>
    <t>Погашение  бюджетных  кредитов,  полученных  от  других  бюджетов  бюджетной  системы  Российской  Федерации  бюджетами  муниципальных  округов  (000 01 03 00 00 14 0000 800)</t>
  </si>
  <si>
    <t>09 3 01 86010 - бюдж. Инвест.</t>
  </si>
  <si>
    <t>09 1 F1 50212 - обл</t>
  </si>
  <si>
    <t>09 1 F1 50212 - фед</t>
  </si>
  <si>
    <t>09 1 F1 50213 - обл</t>
  </si>
  <si>
    <t>09 1 F1 50213 - фед</t>
  </si>
  <si>
    <t>09 1 F1 50214 - обл</t>
  </si>
  <si>
    <t>09 1 F1 50214 - фед</t>
  </si>
  <si>
    <t>04 1 Е2 50980 - обл</t>
  </si>
  <si>
    <t>04 1 Е2 50980 - фед</t>
  </si>
  <si>
    <t>03 1 Р5 52281</t>
  </si>
  <si>
    <t>03 1 Р5 52281 - фед</t>
  </si>
  <si>
    <t>04 1 E1 А2390</t>
  </si>
  <si>
    <t>04 1 Е1 52390 - обл</t>
  </si>
  <si>
    <t>04 1 Е1 52390 - фед</t>
  </si>
  <si>
    <t>06 1 F5 52432 - обл</t>
  </si>
  <si>
    <t>06 1 F5 52432 - фед</t>
  </si>
  <si>
    <t>20 4 02 R2991 - обл</t>
  </si>
  <si>
    <t>20 4 02 R2991 - фед</t>
  </si>
  <si>
    <t>05 4 02 R3530 - фед</t>
  </si>
  <si>
    <t>07 2 03 R3722 - фед</t>
  </si>
  <si>
    <t>08 1 R1 53940 - обл</t>
  </si>
  <si>
    <t>08 1 R1 53940 - фед</t>
  </si>
  <si>
    <t xml:space="preserve">08 1 R1 А3944 </t>
  </si>
  <si>
    <t>08 1 R7 54010 - обл</t>
  </si>
  <si>
    <t>08 1 R7 54010 - фед</t>
  </si>
  <si>
    <t>06 1 F2 54240 - обл</t>
  </si>
  <si>
    <t>06 1 F2 54240 - фед</t>
  </si>
  <si>
    <t>05 1 A3 54530 - обл</t>
  </si>
  <si>
    <t>05 1 A3 54530 - фед</t>
  </si>
  <si>
    <t>05 1 A1 54540 - обл</t>
  </si>
  <si>
    <t>05 1 A1 54540 - фед</t>
  </si>
  <si>
    <t>05 4 02 R4660 - обл</t>
  </si>
  <si>
    <t>05 4 02 R4660 - фед</t>
  </si>
  <si>
    <t>05 4 02 R4670 - обл</t>
  </si>
  <si>
    <t>05 4 02 R4670 - фед</t>
  </si>
  <si>
    <t>17 2 05 R5990 - обл</t>
  </si>
  <si>
    <t>17 2 05 R5990- фед</t>
  </si>
  <si>
    <t>19 4 01 R5110 - обл</t>
  </si>
  <si>
    <t>19 4 01 R5110- фед</t>
  </si>
  <si>
    <t>05 1 A1 55131 - обл</t>
  </si>
  <si>
    <t>05 1 A1 55131 - фед</t>
  </si>
  <si>
    <t>05 1 A1 55198 - обл</t>
  </si>
  <si>
    <t>05 1 A1 55198 - фед</t>
  </si>
  <si>
    <t>05 1 A1 5519Б - обл</t>
  </si>
  <si>
    <t>05 1 A1 5519Б - фед</t>
  </si>
  <si>
    <t>05 4 02 R5191 - обл</t>
  </si>
  <si>
    <t>05 4 02 R5191 - фед</t>
  </si>
  <si>
    <t>04 1 E1 55200 - фед</t>
  </si>
  <si>
    <t>06 1 F2 55550 - обл</t>
  </si>
  <si>
    <t>06 1 F2 55550 - фед</t>
  </si>
  <si>
    <t xml:space="preserve">06 1 F2 A5551 </t>
  </si>
  <si>
    <t>план</t>
  </si>
  <si>
    <t>07 2 02 R5763 - фед</t>
  </si>
  <si>
    <t>05 1 А1 55840  - обл</t>
  </si>
  <si>
    <t>05 1 А1 55840  - фед</t>
  </si>
  <si>
    <t>05 1 A1 55900  - обл</t>
  </si>
  <si>
    <t>05 1 A1 55900  - фед</t>
  </si>
  <si>
    <t>05 1 A1 55970 - обл</t>
  </si>
  <si>
    <t>05 1 A1 55970 - фед</t>
  </si>
  <si>
    <t>04 2 01 А7500</t>
  </si>
  <si>
    <t>03 2 01 R7530 - обл</t>
  </si>
  <si>
    <t>03 2 01 R7530 - фед</t>
  </si>
  <si>
    <t>07 2 01 R5762</t>
  </si>
  <si>
    <t>07 2 01 R5762 - фед</t>
  </si>
  <si>
    <t>07 2 01 R5768</t>
  </si>
  <si>
    <t>07 2 01 R5768 - фед</t>
  </si>
  <si>
    <t>07 2 04 R5766 - фед</t>
  </si>
  <si>
    <t>01 4 03 R3040</t>
  </si>
  <si>
    <t>01 4 03 R3040 - фед</t>
  </si>
  <si>
    <t>05 4 04 85020</t>
  </si>
  <si>
    <t>05 4 04 59300</t>
  </si>
  <si>
    <t xml:space="preserve"> 20 1 EВ 51790</t>
  </si>
  <si>
    <t>план  погашения  КБ</t>
  </si>
  <si>
    <t>факт  погашения  КБ</t>
  </si>
  <si>
    <t>Целевые  статьи  21 4 03 80010, 21 4 03 80020</t>
  </si>
  <si>
    <t>Целевая  статья  21 4 03 80030</t>
  </si>
  <si>
    <t>Целевые  статьи  21 4 03 80050,  21 4 03 80060,  21 4 03 80080</t>
  </si>
  <si>
    <t>Целевые  статьи  21 4 03 80040,  21 4 03 80070</t>
  </si>
  <si>
    <t>Целевые  статьи  06 2 01 86390,  09 3 01 86010  в  части  бюджетных  инвестиций (ВР 522)</t>
  </si>
  <si>
    <t>Целевая  статья  08 3 01 86030</t>
  </si>
  <si>
    <t>Целевая  статья  06 1 F3 67484</t>
  </si>
  <si>
    <t>Целевые  статьи  06 2 01 09606,  06 2 01 09607</t>
  </si>
  <si>
    <t>Целевые  статьи  09 1 F1 50212,   09 1 F1 50213,  09 1 F1 50214</t>
  </si>
  <si>
    <t>Целевые  статьи  01 4 05 86130,  01 4 05 86310,  01 4 05 86430</t>
  </si>
  <si>
    <t>Целевая  статья  04 1 Е2 50980</t>
  </si>
  <si>
    <t>Целевая  статья  03 1 Р5 52281</t>
  </si>
  <si>
    <t>Целевые  статьи  04 1 Е1 52390,  04 1 E1 А2390</t>
  </si>
  <si>
    <t xml:space="preserve">Целевые  статьи  08 1 R1 53940,  08 1 R1 А3944 </t>
  </si>
  <si>
    <t>Целевая  статья  05 4 02 R4660</t>
  </si>
  <si>
    <t>Целевая  статья  05 4 02 R4670</t>
  </si>
  <si>
    <t>Целевые  статьи  17 2 05 R5990,  19 4 01 R5110</t>
  </si>
  <si>
    <t>Целевые  статьи  05 1 A1 55131,  05 1 A1 Д5131</t>
  </si>
  <si>
    <t xml:space="preserve">Целевые  статьи  05 1 A1 55198,  05 1 A1 5519Б,  05 1 A1 Д5195,  05 4 02 R5191  </t>
  </si>
  <si>
    <t>Целевые  статьи  04 1 E1 55200, 04 1 E1 Д5200</t>
  </si>
  <si>
    <t xml:space="preserve">Целевые  статьи 06 1 F2 55550,  06 1 F2 A5551 </t>
  </si>
  <si>
    <t>Целевые  статьи  07 2 01 R5762,  07 2 01 R5768,  07 2 04 R5766</t>
  </si>
  <si>
    <t>Целевые  статьи  03 1 P5 86820,  03 4 01 86440,  03 4 01 86820,  04 2 01 86890,  04 2 01 86920,  04 4 02 86560,  04 4 02 86880,  04 4 04 86910,  05 1 A2 86280,  06 2 01 86120,  06 2 01 97020,  06 4 01 86490,  08 4 01 86070,  08 4 01 86230,  09 2 01 98010,  09 3 01 86010,  10 4 01 86080,  10 4 01 86180,  11 3 02 86210,  11 3 02 86380,  14 4 01 86160,  15 4 01 86060,  15 4 01 86860,  19 4 01 86470,  19 4 02 86790,  20 4 01 86670,  20 4 02 86650,  20 4 03 86630</t>
  </si>
  <si>
    <t>Целевые  статьи   05 1 A2 86280,  08 4 01 86070,  09 2 01 98010,  09 3 01 86010,  10 4 01 86080,  11 3 02 86210, 11 3 02 86380,  19 4 02 86790,  20 4 02 86650,  20 4 03 86630</t>
  </si>
  <si>
    <t>Целевые  статьи  01 4 01 85190,  01 4 01 85251,  01 4 01 85252,  01 4 03 85080,  01 4 03 85130,  01 4 03 85440,  01 4 03 85460,  01 4 03 85450,  04 4 02 85090,  04 4 02 85160,  04 4 02 85350,  04 4 02 85420,  05 4 04 85060,  09 4 01 85010,  13 4 01 85070,  17 4 03 85170,  17 4 03 85210,  18 4 03 85340,  99 9 00 85270</t>
  </si>
  <si>
    <t>Целевая  статья  01 4 03 85430</t>
  </si>
  <si>
    <t>Целевые  статьи  05 4 04 85020  (областные),  05 4 04 59300  (федеральные)</t>
  </si>
  <si>
    <t>Целевая  статья  06 1 F2 А4240</t>
  </si>
  <si>
    <t>Целевые  статьи  03 2 01 87090,  04 2 01 87080,  06 4 03 87070,  08 4 02 87110,  08 4 02 97060,  09 3 01 87130,  21 3 01 80090,  99 9 00 55491,  99 9 00 87100,  99 9 00 87120</t>
  </si>
  <si>
    <t>города</t>
  </si>
  <si>
    <t>район</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</si>
  <si>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</si>
  <si>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06 2 01 97010</t>
  </si>
  <si>
    <t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</si>
  <si>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97010 - казнач. Кредит</t>
  </si>
  <si>
    <t xml:space="preserve">Субсидии бюджетам поселений на развитие транспортной инфраструктуры на сельских территориях  </t>
  </si>
  <si>
    <t xml:space="preserve">Субсидии бюджетам сельских поселений на развитие транспортной инфраструктуры на сельских территориях   (000 2 02 25372 10 0000 150) </t>
  </si>
  <si>
    <t xml:space="preserve">Субсидии бюджетам городских поселений на развитие транспортной инфраструктуры на сельских территориях   (000 2 02 25372 13 0000 150) </t>
  </si>
  <si>
    <t>годовой  план  целевых  средств</t>
  </si>
  <si>
    <t>консолидированный  бюджет</t>
  </si>
  <si>
    <t>городские  поселения</t>
  </si>
  <si>
    <t>сельские  поселения</t>
  </si>
  <si>
    <t>районы  и  города</t>
  </si>
  <si>
    <t xml:space="preserve">Субсидии бюджетам поселений на создание виртуальных концертных залов </t>
  </si>
  <si>
    <t xml:space="preserve">Субсидии бюджетам сельских поселений на создание виртуальных концертных залов  (ООО 2 02 25453 10 0000 150 ) </t>
  </si>
  <si>
    <t xml:space="preserve">Субсидии бюджетам городских поселений на создание виртуальных концертных залов  (ООО 2 02 25453 13 0000 150 ) </t>
  </si>
  <si>
    <t>Целевые  статьи  06 2 01 09506,  06 2 01 09507</t>
  </si>
  <si>
    <t>06 2 01 09506</t>
  </si>
  <si>
    <t>Целевая  статья  06 2 01 09506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</si>
  <si>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</si>
  <si>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</si>
  <si>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</si>
  <si>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09506)</t>
  </si>
  <si>
    <t>Воловский округ</t>
  </si>
  <si>
    <t>Добровский округ</t>
  </si>
  <si>
    <t>Измалковский округ</t>
  </si>
  <si>
    <t>Становлянский округ</t>
  </si>
  <si>
    <t>Грязинский район</t>
  </si>
  <si>
    <t>Данковский район</t>
  </si>
  <si>
    <t>Добринский район</t>
  </si>
  <si>
    <t>Долгоруковский район</t>
  </si>
  <si>
    <t>Елецкий район</t>
  </si>
  <si>
    <t>Задонский район</t>
  </si>
  <si>
    <t>Краснинский район</t>
  </si>
  <si>
    <t>Лебедянский район</t>
  </si>
  <si>
    <t>Лев-Толстовский район</t>
  </si>
  <si>
    <t>Липецкий район</t>
  </si>
  <si>
    <t>Тербунский район</t>
  </si>
  <si>
    <t>Усманский район</t>
  </si>
  <si>
    <t>Хлевенский район</t>
  </si>
  <si>
    <t>Чаплыгинский район</t>
  </si>
  <si>
    <t>Город Елец</t>
  </si>
  <si>
    <t>Город Липецк</t>
  </si>
  <si>
    <t>Измалковский муниципальный округ</t>
  </si>
  <si>
    <t>Целевые  статьи  07 2 02 R5763,  07 2 04 R5766  в  части  строительства  ледовой  арены  в  Добровском  муниципальном  округе</t>
  </si>
  <si>
    <t>Код ведомства</t>
  </si>
  <si>
    <t>2130180090</t>
  </si>
  <si>
    <t>019</t>
  </si>
  <si>
    <t>035</t>
  </si>
  <si>
    <t>043</t>
  </si>
  <si>
    <t>046</t>
  </si>
  <si>
    <t>1402</t>
  </si>
  <si>
    <t>90001МО</t>
  </si>
  <si>
    <t>90005МО</t>
  </si>
  <si>
    <t>90014МО</t>
  </si>
  <si>
    <t>90003004</t>
  </si>
  <si>
    <t>Данковский, Березовский</t>
  </si>
  <si>
    <t>90003022</t>
  </si>
  <si>
    <t>Данковский, Ягодновский</t>
  </si>
  <si>
    <t>90004018</t>
  </si>
  <si>
    <t>Добринский, Талицкий</t>
  </si>
  <si>
    <t>90007012</t>
  </si>
  <si>
    <t>Елец, Пищулинский</t>
  </si>
  <si>
    <t>90008008</t>
  </si>
  <si>
    <t>Задонск, Каменский</t>
  </si>
  <si>
    <t>90011015</t>
  </si>
  <si>
    <t>Лебедянь,Шовский</t>
  </si>
  <si>
    <t>90012008</t>
  </si>
  <si>
    <t>Лев-Толстой,Октябрьский</t>
  </si>
  <si>
    <t>90015003</t>
  </si>
  <si>
    <t>Тербунский, Борковский</t>
  </si>
  <si>
    <t>90015010</t>
  </si>
  <si>
    <t>Тербунский, Новосильский</t>
  </si>
  <si>
    <t>90018001</t>
  </si>
  <si>
    <t>Чаплыгинский, Братовский</t>
  </si>
  <si>
    <t>90018007</t>
  </si>
  <si>
    <t>Чаплыгинский, Зенкинский</t>
  </si>
  <si>
    <t>90018012</t>
  </si>
  <si>
    <t>Чаплыгинский, Лозовский</t>
  </si>
  <si>
    <t>04 2 01 R7501 - обл</t>
  </si>
  <si>
    <t>04 2 01 R7501 - фед</t>
  </si>
  <si>
    <t>Целевые  статьи  04 2 01 R7501,  04 2 01 А7500</t>
  </si>
  <si>
    <t>Целевая  статья  04 2 01 R7501</t>
  </si>
  <si>
    <t>6. Реализация мероприятий по модернизации школьных систем образования (с однолетним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  (ЦС  04 2 01 R7501)</t>
  </si>
  <si>
    <t xml:space="preserve">04 2 01 R7501 </t>
  </si>
  <si>
    <t>Реализация мероприятий по модернизации школьных систем образования (с однолетним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</si>
  <si>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R7502</t>
  </si>
  <si>
    <t>Реализация мероприятий по модернизации школьных систем образования (с двухлетним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</si>
  <si>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 xml:space="preserve"> Наименование  муниципальных  образований</t>
  </si>
  <si>
    <t>Итого  по  районам</t>
  </si>
  <si>
    <t>г. Елец</t>
  </si>
  <si>
    <t>г. Липецк</t>
  </si>
  <si>
    <t>Итого  по  городам</t>
  </si>
  <si>
    <t>Всего  по  области</t>
  </si>
  <si>
    <t xml:space="preserve"> Утвержденные бюджетные назначения</t>
  </si>
  <si>
    <t>% исполнения</t>
  </si>
  <si>
    <t>Утвержденные бюджетные назначения</t>
  </si>
  <si>
    <t>Итого по муниципальным округам</t>
  </si>
  <si>
    <t>ОБЪЕМ  МЕЖБЮДЖЕТНЫХ  ТРАНСФЕРТОВ,  ПРЕДОСТАВЛЕННЫХ  ИЗ  ОБЛАСТНОГО  БЮДЖЕТА  БЮДЖЕТАМ  МУНИЦИПАЛЬНЫХ  ОБРАЗОВАНИЙ  ЗА 1 полугодие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</si>
</sst>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0.00_р_._-;\-* #,##0.00_р_._-;_-* &quot;-&quot;??_р_._-;_-@_-"/>
    <numFmt numFmtId="166" formatCode="_-* #,##0_р_._-;\-* #,##0_р_._-;_-* &quot;-&quot;??_р_._-;_-@_-"/>
    <numFmt numFmtId="167" formatCode="_-* #,##0.0\ _р_._-;\-* #,##0.0\ _р_._-;_-* &quot;-&quot;??\ _р_._-;_-@_-"/>
    <numFmt numFmtId="168" formatCode="_-* #,##0.00\ _р_._-;\-* #,##0.00\ _р_._-;_-* &quot;-&quot;??\ _р_._-;_-@_-"/>
    <numFmt numFmtId="169" formatCode="#,##0.00_ ;\-#,##0.00\ "/>
    <numFmt numFmtId="170" formatCode="_-* #,##0.00000_р_._-;\-* #,##0.00000_р_._-;_-* &quot;-&quot;??_р_._-;_-@_-"/>
    <numFmt numFmtId="171" formatCode="_-* #,##0.0_р_._-;\-* #,##0.0_р_._-;_-* &quot;-&quot;??_р_._-;_-@_-"/>
    <numFmt numFmtId="172" formatCode="_-* #,##0.0_р_._-;\-* #,##0.0_р_._-;_-* &quot;-&quot;?_р_._-;_-@_-"/>
    <numFmt numFmtId="173" formatCode="_-* #,##0.0\ _₽_-;\-* #,##0.0\ _₽_-;_-* &quot;-&quot;?\ _₽_-;_-@_-"/>
    <numFmt numFmtId="174" formatCode="#,##0.0"/>
  </numFmts>
  <fonts count="103" x14ac:knownFonts="1">
    <font>
      <sz val="11"/>
      <color theme="1"/>
      <name val="Calibri"/>
      <family val="2"/>
      <charset val="204"/>
      <scheme val="minor"/>
    </font>
    <font>
      <sz val="10"/>
      <name val="Arial Cyr"/>
      <charset val="204"/>
    </font>
    <font>
      <b/>
      <sz val="11"/>
      <name val="Arial Cyr"/>
      <charset val="204"/>
    </font>
    <font>
      <b/>
      <sz val="10"/>
      <color rgb="FF000000"/>
      <name val="Arial"/>
      <family val="2"/>
      <charset val="204"/>
    </font>
    <font>
      <sz val="11"/>
      <name val="Calibri"/>
      <family val="2"/>
      <scheme val="minor"/>
    </font>
    <font>
      <sz val="10"/>
      <color rgb="FF000000"/>
      <name val="Arial Cyr"/>
    </font>
    <font>
      <sz val="10"/>
      <color rgb="FF000000"/>
      <name val="Arial"/>
      <family val="2"/>
      <charset val="204"/>
    </font>
    <font>
      <b/>
      <sz val="10"/>
      <color rgb="FFFF0000"/>
      <name val="Arial"/>
      <family val="2"/>
      <charset val="204"/>
    </font>
    <font>
      <sz val="10"/>
      <color rgb="FFFF0000"/>
      <name val="Arial Cyr"/>
      <charset val="204"/>
    </font>
    <font>
      <b/>
      <sz val="12"/>
      <name val="Arial Cyr"/>
      <charset val="204"/>
    </font>
    <font>
      <b/>
      <sz val="11"/>
      <color rgb="FF000000"/>
      <name val="Arial"/>
      <family val="2"/>
      <charset val="204"/>
    </font>
    <font>
      <b/>
      <sz val="12"/>
      <color rgb="FF000000"/>
      <name val="Arial"/>
      <family val="2"/>
      <charset val="204"/>
    </font>
    <font>
      <b/>
      <sz val="12"/>
      <color rgb="FFFF0000"/>
      <name val="Arial Cyr"/>
      <charset val="204"/>
    </font>
    <font>
      <sz val="11"/>
      <color rgb="FF000000"/>
      <name val="Arial"/>
      <family val="2"/>
      <charset val="204"/>
    </font>
    <font>
      <sz val="11"/>
      <name val="Arial Cyr"/>
      <charset val="204"/>
    </font>
    <font>
      <b/>
      <sz val="15"/>
      <name val="Arial Cyr"/>
      <family val="2"/>
      <charset val="204"/>
    </font>
    <font>
      <b/>
      <sz val="15"/>
      <color indexed="10"/>
      <name val="Arial Cyr"/>
      <charset val="204"/>
    </font>
    <font>
      <b/>
      <sz val="10"/>
      <name val="Arial Cyr"/>
      <family val="2"/>
      <charset val="204"/>
    </font>
    <font>
      <b/>
      <sz val="12"/>
      <name val="Arial Cyr"/>
      <family val="2"/>
      <charset val="204"/>
    </font>
    <font>
      <b/>
      <sz val="14"/>
      <name val="Arial Cyr"/>
      <family val="2"/>
      <charset val="204"/>
    </font>
    <font>
      <b/>
      <sz val="13"/>
      <name val="Arial Cyr"/>
      <family val="2"/>
      <charset val="204"/>
    </font>
    <font>
      <b/>
      <sz val="13"/>
      <color indexed="10"/>
      <name val="Arial Cyr"/>
      <family val="2"/>
      <charset val="204"/>
    </font>
    <font>
      <b/>
      <sz val="12"/>
      <color rgb="FFFF0000"/>
      <name val="Arial Cyr"/>
      <family val="2"/>
      <charset val="204"/>
    </font>
    <font>
      <sz val="13"/>
      <name val="Arial Cyr"/>
      <family val="2"/>
      <charset val="204"/>
    </font>
    <font>
      <b/>
      <sz val="13"/>
      <color rgb="FFFF0000"/>
      <name val="Arial Cyr"/>
      <family val="2"/>
      <charset val="204"/>
    </font>
    <font>
      <b/>
      <sz val="12"/>
      <color indexed="10"/>
      <name val="Arial Cyr"/>
      <charset val="204"/>
    </font>
    <font>
      <b/>
      <sz val="12"/>
      <color indexed="10"/>
      <name val="Arial Cyr"/>
      <family val="2"/>
      <charset val="204"/>
    </font>
    <font>
      <b/>
      <sz val="13"/>
      <color rgb="FFFF0000"/>
      <name val="Arial Cyr"/>
      <charset val="204"/>
    </font>
    <font>
      <sz val="13"/>
      <color rgb="FFFF0000"/>
      <name val="Arial Cyr"/>
      <charset val="204"/>
    </font>
    <font>
      <b/>
      <sz val="12"/>
      <name val="Arial"/>
      <family val="2"/>
      <charset val="204"/>
    </font>
    <font>
      <b/>
      <sz val="12"/>
      <color indexed="10"/>
      <name val="Arial"/>
      <family val="2"/>
      <charset val="204"/>
    </font>
    <font>
      <b/>
      <sz val="14"/>
      <color rgb="FFFF0000"/>
      <name val="Arial Cyr"/>
      <charset val="204"/>
    </font>
    <font>
      <b/>
      <sz val="11"/>
      <name val="Arial"/>
      <family val="2"/>
      <charset val="204"/>
    </font>
    <font>
      <b/>
      <sz val="11"/>
      <color rgb="FFFF0000"/>
      <name val="Arial Cyr"/>
      <charset val="204"/>
    </font>
    <font>
      <b/>
      <sz val="10"/>
      <color rgb="FFFF0000"/>
      <name val="Arial Cyr"/>
    </font>
    <font>
      <b/>
      <sz val="10"/>
      <name val="Arial Cyr"/>
      <charset val="204"/>
    </font>
    <font>
      <b/>
      <sz val="10"/>
      <name val="Arial"/>
      <family val="2"/>
      <charset val="204"/>
    </font>
    <font>
      <b/>
      <sz val="10"/>
      <color rgb="FFFF0000"/>
      <name val="Arial Cyr"/>
      <charset val="204"/>
    </font>
    <font>
      <b/>
      <sz val="11"/>
      <color indexed="10"/>
      <name val="Arial"/>
      <family val="2"/>
      <charset val="204"/>
    </font>
    <font>
      <b/>
      <sz val="11"/>
      <color rgb="FFFF0000"/>
      <name val="Arial"/>
      <family val="2"/>
      <charset val="204"/>
    </font>
    <font>
      <b/>
      <i/>
      <sz val="10"/>
      <name val="Arial"/>
      <family val="2"/>
      <charset val="204"/>
    </font>
    <font>
      <b/>
      <i/>
      <u/>
      <sz val="10"/>
      <name val="Arial Cyr"/>
      <charset val="204"/>
    </font>
    <font>
      <b/>
      <i/>
      <sz val="11"/>
      <name val="Arial Cyr"/>
      <charset val="204"/>
    </font>
    <font>
      <b/>
      <i/>
      <sz val="11"/>
      <name val="Arial"/>
      <family val="2"/>
      <charset val="204"/>
    </font>
    <font>
      <b/>
      <i/>
      <sz val="11"/>
      <color rgb="FFFF0000"/>
      <name val="Arial"/>
      <family val="2"/>
      <charset val="204"/>
    </font>
    <font>
      <b/>
      <i/>
      <sz val="11"/>
      <color indexed="10"/>
      <name val="Arial"/>
      <family val="2"/>
      <charset val="204"/>
    </font>
    <font>
      <b/>
      <i/>
      <sz val="10"/>
      <name val="Arial Cyr"/>
      <charset val="204"/>
    </font>
    <font>
      <b/>
      <sz val="11"/>
      <color indexed="10"/>
      <name val="Arial Cyr"/>
      <charset val="204"/>
    </font>
    <font>
      <b/>
      <sz val="10"/>
      <color indexed="10"/>
      <name val="Arial Cyr"/>
      <charset val="204"/>
    </font>
    <font>
      <b/>
      <u/>
      <sz val="10"/>
      <name val="Arial Cyr"/>
      <charset val="204"/>
    </font>
    <font>
      <b/>
      <sz val="11"/>
      <color indexed="8"/>
      <name val="Arial Cyr"/>
      <charset val="204"/>
    </font>
    <font>
      <b/>
      <sz val="10"/>
      <color indexed="10"/>
      <name val="Arial"/>
      <family val="2"/>
      <charset val="204"/>
    </font>
    <font>
      <sz val="8"/>
      <color rgb="FF000000"/>
      <name val="Arial Cyr"/>
      <family val="2"/>
    </font>
    <font>
      <b/>
      <sz val="12"/>
      <color rgb="FFFF0000"/>
      <name val="Arial"/>
      <family val="2"/>
      <charset val="204"/>
    </font>
    <font>
      <b/>
      <i/>
      <sz val="12"/>
      <color indexed="10"/>
      <name val="Arial"/>
      <family val="2"/>
      <charset val="204"/>
    </font>
    <font>
      <b/>
      <i/>
      <sz val="11"/>
      <color indexed="10"/>
      <name val="Arial Cyr"/>
      <charset val="204"/>
    </font>
    <font>
      <b/>
      <sz val="16"/>
      <name val="Arial Cyr"/>
      <charset val="204"/>
    </font>
    <font>
      <b/>
      <sz val="15"/>
      <color rgb="FFFF0000"/>
      <name val="Arial Cyr"/>
      <charset val="204"/>
    </font>
    <font>
      <b/>
      <sz val="13"/>
      <name val="Arial Cyr"/>
      <charset val="204"/>
    </font>
    <font>
      <b/>
      <sz val="13"/>
      <name val="Arial"/>
      <family val="2"/>
      <charset val="204"/>
    </font>
    <font>
      <b/>
      <sz val="13"/>
      <color indexed="10"/>
      <name val="Arial"/>
      <family val="2"/>
      <charset val="204"/>
    </font>
    <font>
      <sz val="13"/>
      <name val="Arial Cyr"/>
      <charset val="204"/>
    </font>
    <font>
      <b/>
      <sz val="13"/>
      <color indexed="10"/>
      <name val="Arial Cyr"/>
      <charset val="204"/>
    </font>
    <font>
      <b/>
      <sz val="20"/>
      <name val="Arial Cyr"/>
      <charset val="204"/>
    </font>
    <font>
      <b/>
      <sz val="11"/>
      <name val="Arial Cyr"/>
      <family val="2"/>
      <charset val="204"/>
    </font>
    <font>
      <sz val="11"/>
      <name val="Arial CYR"/>
      <family val="2"/>
      <charset val="204"/>
    </font>
    <font>
      <i/>
      <sz val="11"/>
      <name val="Arial Cyr"/>
      <charset val="204"/>
    </font>
    <font>
      <sz val="10"/>
      <name val="Arial"/>
      <family val="2"/>
      <charset val="204"/>
    </font>
    <font>
      <b/>
      <u/>
      <sz val="13"/>
      <name val="Arial"/>
      <family val="2"/>
      <charset val="204"/>
    </font>
    <font>
      <b/>
      <sz val="8"/>
      <color rgb="FF000000"/>
      <name val="Arial Cyr"/>
      <family val="2"/>
    </font>
    <font>
      <b/>
      <sz val="13"/>
      <color rgb="FF000000"/>
      <name val="Arial"/>
      <family val="2"/>
      <charset val="204"/>
    </font>
    <font>
      <b/>
      <sz val="14"/>
      <name val="Arial Cyr"/>
      <charset val="204"/>
    </font>
    <font>
      <sz val="12"/>
      <name val="Arial"/>
      <family val="2"/>
      <charset val="204"/>
    </font>
    <font>
      <sz val="12"/>
      <name val="Arial Cyr"/>
      <family val="2"/>
      <charset val="204"/>
    </font>
    <font>
      <b/>
      <sz val="14"/>
      <name val="Arial"/>
      <family val="2"/>
      <charset val="204"/>
    </font>
    <font>
      <b/>
      <sz val="14"/>
      <color rgb="FFFF0000"/>
      <name val="Arial"/>
      <family val="2"/>
      <charset val="204"/>
    </font>
    <font>
      <b/>
      <sz val="13"/>
      <color rgb="FFFF0000"/>
      <name val="Arial"/>
      <family val="2"/>
      <charset val="204"/>
    </font>
    <font>
      <b/>
      <sz val="10"/>
      <color rgb="FF000000"/>
      <name val="Arial Cyr"/>
    </font>
    <font>
      <sz val="10"/>
      <color rgb="FF000000"/>
      <name val="Arial Cyr"/>
      <family val="2"/>
    </font>
    <font>
      <b/>
      <sz val="12"/>
      <color rgb="FF000000"/>
      <name val="Arial Cyr"/>
    </font>
    <font>
      <b/>
      <sz val="10"/>
      <color rgb="FF000000"/>
      <name val="Arial Cyr"/>
      <family val="2"/>
    </font>
    <font>
      <sz val="12"/>
      <color rgb="FFFF0000"/>
      <name val="Arial"/>
      <family val="2"/>
      <charset val="204"/>
    </font>
    <font>
      <sz val="8"/>
      <name val="Arial Cyr"/>
      <family val="2"/>
      <charset val="204"/>
    </font>
    <font>
      <sz val="10"/>
      <color rgb="FF000000"/>
      <name val="Times New Roman Cyr"/>
      <family val="2"/>
    </font>
    <font>
      <b/>
      <i/>
      <sz val="13"/>
      <name val="Arial"/>
      <family val="2"/>
      <charset val="204"/>
    </font>
    <font>
      <b/>
      <sz val="16"/>
      <name val="Arial"/>
      <family val="2"/>
      <charset val="204"/>
    </font>
    <font>
      <b/>
      <sz val="11"/>
      <color rgb="FF000000"/>
      <name val="Arial"/>
      <family val="2"/>
      <charset val="204"/>
    </font>
    <font>
      <sz val="12"/>
      <name val="Arial Cyr"/>
      <charset val="204"/>
    </font>
    <font>
      <sz val="11"/>
      <color theme="1"/>
      <name val="Calibri"/>
      <family val="2"/>
      <charset val="204"/>
      <scheme val="minor"/>
    </font>
    <font>
      <sz val="11"/>
      <name val="Calibri"/>
      <family val="2"/>
      <charset val="204"/>
      <scheme val="minor"/>
    </font>
    <font>
      <b/>
      <sz val="13"/>
      <name val="Arial Cyr"/>
    </font>
    <font>
      <b/>
      <sz val="13"/>
      <name val="Arial Cyr"/>
      <family val="2"/>
    </font>
    <font>
      <b/>
      <sz val="10"/>
      <name val="Arial Cyr"/>
    </font>
    <font>
      <b/>
      <sz val="12"/>
      <name val="Arial Cyr"/>
    </font>
    <font>
      <sz val="11"/>
      <name val="Arial"/>
      <family val="2"/>
      <charset val="204"/>
    </font>
    <font>
      <sz val="13"/>
      <name val="Arial"/>
      <family val="2"/>
      <charset val="204"/>
    </font>
    <font>
      <b/>
      <sz val="11"/>
      <name val="Arial Cyr"/>
    </font>
    <font>
      <b/>
      <sz val="14"/>
      <name val="Arial Cyr"/>
    </font>
    <font>
      <b/>
      <sz val="11"/>
      <name val="Times New Roman"/>
      <family val="1"/>
      <charset val="204"/>
    </font>
    <font>
      <b/>
      <sz val="10"/>
      <name val="Times New Roman"/>
      <family val="1"/>
      <charset val="204"/>
    </font>
    <font>
      <sz val="11"/>
      <name val="Times New Roman"/>
      <family val="1"/>
      <charset val="204"/>
    </font>
    <font>
      <b/>
      <sz val="12"/>
      <name val="Times New Roman"/>
      <family val="1"/>
      <charset val="204"/>
    </font>
    <font>
      <sz val="12"/>
      <name val="Times New Roman"/>
      <family val="1"/>
      <charset val="204"/>
    </font>
  </fonts>
  <fills count="30">
    <fill>
      <patternFill patternType="none"/>
    </fill>
    <fill>
      <patternFill patternType="gray125"/>
    </fill>
    <fill>
      <patternFill patternType="solid">
        <fgColor rgb="FFF1F5F9"/>
      </patternFill>
    </fill>
    <fill>
      <patternFill patternType="solid">
        <fgColor rgb="FFFFFF00"/>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59999389629810485"/>
        <bgColor indexed="64"/>
      </patternFill>
    </fill>
    <fill>
      <patternFill patternType="solid">
        <fgColor rgb="FFCCFFCC"/>
        <bgColor indexed="64"/>
      </patternFill>
    </fill>
    <fill>
      <patternFill patternType="solid">
        <fgColor indexed="42"/>
        <bgColor indexed="64"/>
      </patternFill>
    </fill>
    <fill>
      <patternFill patternType="solid">
        <fgColor indexed="13"/>
        <bgColor indexed="64"/>
      </patternFill>
    </fill>
    <fill>
      <patternFill patternType="solid">
        <fgColor rgb="FFFFD5AB"/>
      </patternFill>
    </fill>
    <fill>
      <patternFill patternType="solid">
        <fgColor indexed="41"/>
        <bgColor indexed="64"/>
      </patternFill>
    </fill>
    <fill>
      <patternFill patternType="solid">
        <fgColor rgb="FF00B0F0"/>
        <bgColor indexed="64"/>
      </patternFill>
    </fill>
    <fill>
      <patternFill patternType="solid">
        <fgColor indexed="15"/>
        <bgColor indexed="64"/>
      </patternFill>
    </fill>
    <fill>
      <patternFill patternType="solid">
        <fgColor theme="8" tint="0.59999389629810485"/>
        <bgColor indexed="64"/>
      </patternFill>
    </fill>
    <fill>
      <patternFill patternType="solid">
        <fgColor rgb="FF66FFFF"/>
        <bgColor indexed="64"/>
      </patternFill>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FF"/>
      </patternFill>
    </fill>
    <fill>
      <patternFill patternType="solid">
        <fgColor indexed="65"/>
        <bgColor indexed="64"/>
      </patternFill>
    </fill>
    <fill>
      <patternFill patternType="solid">
        <fgColor indexed="27"/>
        <bgColor indexed="64"/>
      </patternFill>
    </fill>
    <fill>
      <patternFill patternType="solid">
        <fgColor rgb="FFFFFFCC"/>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bgColor indexed="64"/>
      </patternFill>
    </fill>
  </fills>
  <borders count="67">
    <border>
      <left/>
      <right/>
      <top/>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A6A6A6"/>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A6A6A6"/>
      </left>
      <right style="thin">
        <color rgb="FFD9D9D9"/>
      </right>
      <top style="thin">
        <color rgb="FFA6A6A6"/>
      </top>
      <bottom/>
      <diagonal/>
    </border>
    <border>
      <left style="thin">
        <color rgb="FFD9D9D9"/>
      </left>
      <right style="thin">
        <color rgb="FFD9D9D9"/>
      </right>
      <top style="thin">
        <color rgb="FFA6A6A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AC090"/>
      </top>
      <bottom style="medium">
        <color rgb="FFFAC09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D9D9D9"/>
      </left>
      <right style="thin">
        <color rgb="FFD9D9D9"/>
      </right>
      <top/>
      <bottom style="thin">
        <color rgb="FFB9CDE5"/>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bottom style="thin">
        <color indexed="8"/>
      </bottom>
      <diagonal/>
    </border>
  </borders>
  <cellStyleXfs count="33">
    <xf numFmtId="0" fontId="0" fillId="0" borderId="0"/>
    <xf numFmtId="0" fontId="1" fillId="0" borderId="0"/>
    <xf numFmtId="49" fontId="3" fillId="0" borderId="1">
      <alignment horizontal="center" vertical="center" wrapText="1"/>
    </xf>
    <xf numFmtId="49" fontId="3" fillId="0" borderId="3">
      <alignment horizontal="center" vertical="center" wrapText="1"/>
    </xf>
    <xf numFmtId="164" fontId="4" fillId="0" borderId="0" applyFont="0" applyFill="0" applyBorder="0" applyAlignment="0" applyProtection="0"/>
    <xf numFmtId="0" fontId="3" fillId="2" borderId="4">
      <alignment horizontal="left" vertical="top" wrapText="1"/>
    </xf>
    <xf numFmtId="49" fontId="3" fillId="2" borderId="5">
      <alignment horizontal="center" vertical="top" shrinkToFit="1"/>
    </xf>
    <xf numFmtId="0" fontId="3" fillId="2" borderId="5">
      <alignment horizontal="left" vertical="top" wrapText="1"/>
    </xf>
    <xf numFmtId="4" fontId="3" fillId="2" borderId="5">
      <alignment horizontal="right" vertical="top" shrinkToFit="1"/>
    </xf>
    <xf numFmtId="0" fontId="5" fillId="0" borderId="4">
      <alignment horizontal="left" vertical="top" wrapText="1"/>
    </xf>
    <xf numFmtId="49" fontId="6" fillId="0" borderId="5">
      <alignment horizontal="center" vertical="top" shrinkToFit="1"/>
    </xf>
    <xf numFmtId="0" fontId="6" fillId="0" borderId="5">
      <alignment horizontal="left" vertical="top" wrapText="1"/>
    </xf>
    <xf numFmtId="4" fontId="6" fillId="0" borderId="5">
      <alignment horizontal="right" vertical="top" shrinkToFit="1"/>
    </xf>
    <xf numFmtId="165" fontId="1" fillId="0" borderId="0" applyFont="0" applyFill="0" applyBorder="0" applyAlignment="0" applyProtection="0"/>
    <xf numFmtId="0" fontId="1" fillId="0" borderId="0"/>
    <xf numFmtId="4" fontId="10" fillId="10" borderId="47">
      <alignment horizontal="right" shrinkToFit="1"/>
    </xf>
    <xf numFmtId="4" fontId="6" fillId="0" borderId="5">
      <alignment horizontal="right" vertical="top" shrinkToFit="1"/>
    </xf>
    <xf numFmtId="0" fontId="52" fillId="0" borderId="0"/>
    <xf numFmtId="0" fontId="1" fillId="0" borderId="0"/>
    <xf numFmtId="0" fontId="69" fillId="0" borderId="57">
      <alignment horizontal="center" vertical="center" wrapText="1"/>
    </xf>
    <xf numFmtId="4" fontId="52" fillId="0" borderId="49">
      <alignment horizontal="right" vertical="top" shrinkToFit="1"/>
    </xf>
    <xf numFmtId="0" fontId="1" fillId="0" borderId="0"/>
    <xf numFmtId="0" fontId="1" fillId="0" borderId="0"/>
    <xf numFmtId="0" fontId="78" fillId="0" borderId="0">
      <alignment vertical="top"/>
    </xf>
    <xf numFmtId="4" fontId="80" fillId="19" borderId="49">
      <alignment horizontal="right" vertical="top" shrinkToFit="1"/>
    </xf>
    <xf numFmtId="0" fontId="82" fillId="0" borderId="0"/>
    <xf numFmtId="4" fontId="83" fillId="0" borderId="49">
      <alignment horizontal="right" vertical="top" wrapText="1" shrinkToFit="1"/>
    </xf>
    <xf numFmtId="0" fontId="1" fillId="0" borderId="0"/>
    <xf numFmtId="4" fontId="6" fillId="0" borderId="5">
      <alignment horizontal="right" vertical="top" shrinkToFit="1"/>
    </xf>
    <xf numFmtId="0" fontId="67" fillId="20" borderId="0"/>
    <xf numFmtId="4" fontId="77" fillId="22" borderId="49">
      <alignment horizontal="right" vertical="top" shrinkToFit="1"/>
    </xf>
    <xf numFmtId="4" fontId="86" fillId="10" borderId="47">
      <alignment horizontal="right" shrinkToFit="1"/>
    </xf>
    <xf numFmtId="164" fontId="88" fillId="0" borderId="0" applyFont="0" applyFill="0" applyBorder="0" applyAlignment="0" applyProtection="0"/>
  </cellStyleXfs>
  <cellXfs count="1874">
    <xf numFmtId="0" fontId="0" fillId="0" borderId="0" xfId="0"/>
    <xf numFmtId="0" fontId="1" fillId="0" borderId="0" xfId="1"/>
    <xf numFmtId="49" fontId="3" fillId="0" borderId="2" xfId="10" applyFont="1" applyBorder="1" applyAlignment="1">
      <alignment horizontal="center" vertical="center" shrinkToFit="1"/>
    </xf>
    <xf numFmtId="164" fontId="7" fillId="0" borderId="2" xfId="4" applyFont="1" applyBorder="1" applyAlignment="1">
      <alignment horizontal="right" vertical="center" shrinkToFit="1"/>
    </xf>
    <xf numFmtId="43" fontId="8" fillId="0" borderId="0" xfId="1" applyNumberFormat="1" applyFont="1"/>
    <xf numFmtId="49" fontId="10" fillId="0" borderId="6" xfId="2" applyFont="1" applyBorder="1">
      <alignment horizontal="center" vertical="center" wrapText="1"/>
    </xf>
    <xf numFmtId="49" fontId="10" fillId="0" borderId="7" xfId="3" applyFont="1" applyBorder="1">
      <alignment horizontal="center" vertical="center" wrapText="1"/>
    </xf>
    <xf numFmtId="165" fontId="11" fillId="0" borderId="7" xfId="13" applyFont="1" applyBorder="1" applyAlignment="1">
      <alignment horizontal="center" vertical="center" wrapText="1"/>
    </xf>
    <xf numFmtId="165" fontId="12" fillId="0" borderId="0" xfId="13" applyFont="1" applyAlignment="1">
      <alignment vertical="center"/>
    </xf>
    <xf numFmtId="0" fontId="3" fillId="2" borderId="8" xfId="5" applyBorder="1" applyAlignment="1">
      <alignment horizontal="left" vertical="center" wrapText="1"/>
    </xf>
    <xf numFmtId="0" fontId="3" fillId="2" borderId="5" xfId="7" applyAlignment="1">
      <alignment horizontal="left" vertical="center" wrapText="1"/>
    </xf>
    <xf numFmtId="164" fontId="10" fillId="2" borderId="5" xfId="4" applyFont="1" applyFill="1" applyBorder="1" applyAlignment="1">
      <alignment horizontal="right" vertical="center" shrinkToFit="1"/>
    </xf>
    <xf numFmtId="0" fontId="5" fillId="3" borderId="2" xfId="9" applyFill="1" applyBorder="1" applyAlignment="1">
      <alignment horizontal="left" vertical="center" wrapText="1"/>
    </xf>
    <xf numFmtId="0" fontId="6" fillId="0" borderId="5" xfId="11" applyAlignment="1">
      <alignment horizontal="left" vertical="center" wrapText="1"/>
    </xf>
    <xf numFmtId="164" fontId="13" fillId="0" borderId="5" xfId="4" applyFont="1" applyBorder="1" applyAlignment="1">
      <alignment horizontal="right" vertical="center" shrinkToFit="1"/>
    </xf>
    <xf numFmtId="165" fontId="12" fillId="3" borderId="2" xfId="13" applyFont="1" applyFill="1" applyBorder="1" applyAlignment="1">
      <alignment vertical="center"/>
    </xf>
    <xf numFmtId="0" fontId="5" fillId="3" borderId="9" xfId="9" applyFill="1" applyBorder="1" applyAlignment="1">
      <alignment horizontal="left" vertical="center" wrapText="1"/>
    </xf>
    <xf numFmtId="0" fontId="5" fillId="0" borderId="9" xfId="9" applyBorder="1" applyAlignment="1">
      <alignment horizontal="left" vertical="center" wrapText="1"/>
    </xf>
    <xf numFmtId="165" fontId="12" fillId="3" borderId="0" xfId="13" applyFont="1" applyFill="1" applyAlignment="1">
      <alignment vertical="center"/>
    </xf>
    <xf numFmtId="0" fontId="5" fillId="0" borderId="2" xfId="9" applyBorder="1" applyAlignment="1">
      <alignment horizontal="left" vertical="center" wrapText="1"/>
    </xf>
    <xf numFmtId="0" fontId="5" fillId="3" borderId="8" xfId="9" applyFill="1" applyBorder="1" applyAlignment="1">
      <alignment horizontal="left" vertical="center" wrapText="1"/>
    </xf>
    <xf numFmtId="0" fontId="5" fillId="0" borderId="8" xfId="9" applyBorder="1" applyAlignment="1">
      <alignment horizontal="left" vertical="center" wrapText="1"/>
    </xf>
    <xf numFmtId="0" fontId="3" fillId="2" borderId="4" xfId="5" applyAlignment="1">
      <alignment horizontal="left" vertical="center" wrapText="1"/>
    </xf>
    <xf numFmtId="0" fontId="14" fillId="0" borderId="0" xfId="1" applyFont="1"/>
    <xf numFmtId="0" fontId="5" fillId="0" borderId="4" xfId="9" applyAlignment="1">
      <alignment horizontal="left" vertical="center" wrapText="1"/>
    </xf>
    <xf numFmtId="0" fontId="15" fillId="0" borderId="0" xfId="1" applyFont="1"/>
    <xf numFmtId="0" fontId="16" fillId="0" borderId="0" xfId="1" applyFont="1"/>
    <xf numFmtId="0" fontId="17" fillId="0" borderId="0" xfId="1" applyFont="1"/>
    <xf numFmtId="0" fontId="18" fillId="0" borderId="14" xfId="1" applyFont="1" applyBorder="1" applyAlignment="1">
      <alignment horizontal="center" vertical="center" wrapText="1"/>
    </xf>
    <xf numFmtId="0" fontId="20" fillId="0" borderId="12" xfId="1" applyFont="1" applyBorder="1" applyAlignment="1">
      <alignment vertical="center" wrapText="1"/>
    </xf>
    <xf numFmtId="0" fontId="18" fillId="0" borderId="15" xfId="1" applyFont="1" applyBorder="1" applyAlignment="1">
      <alignment horizontal="center" vertical="center" wrapText="1"/>
    </xf>
    <xf numFmtId="0" fontId="18" fillId="0" borderId="21" xfId="1" applyFont="1" applyBorder="1" applyAlignment="1">
      <alignment vertical="center" wrapText="1"/>
    </xf>
    <xf numFmtId="0" fontId="18" fillId="0" borderId="14" xfId="1" applyFont="1" applyBorder="1" applyAlignment="1">
      <alignment horizontal="center" vertical="center"/>
    </xf>
    <xf numFmtId="0" fontId="18" fillId="4" borderId="14" xfId="1" applyFont="1" applyFill="1" applyBorder="1" applyAlignment="1">
      <alignment horizontal="center" vertical="center"/>
    </xf>
    <xf numFmtId="0" fontId="18" fillId="4" borderId="10" xfId="1" applyFont="1" applyFill="1" applyBorder="1" applyAlignment="1">
      <alignment horizontal="center" vertical="center"/>
    </xf>
    <xf numFmtId="0" fontId="18" fillId="4" borderId="17" xfId="1" applyFont="1" applyFill="1" applyBorder="1" applyAlignment="1">
      <alignment horizontal="center" vertical="center"/>
    </xf>
    <xf numFmtId="0" fontId="18" fillId="0" borderId="22" xfId="1" applyFont="1" applyBorder="1" applyAlignment="1">
      <alignment horizontal="center" vertical="center"/>
    </xf>
    <xf numFmtId="0" fontId="18" fillId="0" borderId="14" xfId="1" applyFont="1" applyBorder="1" applyAlignment="1">
      <alignment horizontal="center"/>
    </xf>
    <xf numFmtId="0" fontId="18" fillId="4" borderId="22" xfId="1" applyFont="1" applyFill="1" applyBorder="1" applyAlignment="1">
      <alignment horizontal="center"/>
    </xf>
    <xf numFmtId="0" fontId="18" fillId="4" borderId="10" xfId="1" applyFont="1" applyFill="1" applyBorder="1" applyAlignment="1">
      <alignment horizontal="center"/>
    </xf>
    <xf numFmtId="0" fontId="18" fillId="0" borderId="16" xfId="1" applyFont="1" applyBorder="1" applyAlignment="1">
      <alignment horizontal="center"/>
    </xf>
    <xf numFmtId="0" fontId="18" fillId="4" borderId="22" xfId="1" applyFont="1" applyFill="1" applyBorder="1" applyAlignment="1">
      <alignment horizontal="center" vertical="center"/>
    </xf>
    <xf numFmtId="0" fontId="18" fillId="4" borderId="16" xfId="1" applyFont="1" applyFill="1" applyBorder="1" applyAlignment="1">
      <alignment horizontal="center"/>
    </xf>
    <xf numFmtId="0" fontId="18" fillId="0" borderId="16" xfId="1" applyFont="1" applyBorder="1" applyAlignment="1">
      <alignment horizontal="center" vertical="center"/>
    </xf>
    <xf numFmtId="0" fontId="18" fillId="4" borderId="11" xfId="1" applyFont="1" applyFill="1" applyBorder="1" applyAlignment="1">
      <alignment horizontal="center" vertical="center"/>
    </xf>
    <xf numFmtId="0" fontId="18" fillId="4" borderId="13" xfId="1" applyFont="1" applyFill="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8" fillId="0" borderId="13" xfId="1" applyFont="1" applyBorder="1" applyAlignment="1">
      <alignment horizontal="center" vertical="center"/>
    </xf>
    <xf numFmtId="0" fontId="18" fillId="4" borderId="12" xfId="1" applyFont="1" applyFill="1" applyBorder="1" applyAlignment="1">
      <alignment horizontal="center" vertical="center"/>
    </xf>
    <xf numFmtId="0" fontId="18" fillId="4" borderId="16" xfId="1" applyFont="1" applyFill="1" applyBorder="1" applyAlignment="1">
      <alignment horizontal="center" vertical="center"/>
    </xf>
    <xf numFmtId="0" fontId="18" fillId="0" borderId="10" xfId="1" applyFont="1" applyBorder="1" applyAlignment="1">
      <alignment horizontal="center" vertical="center"/>
    </xf>
    <xf numFmtId="0" fontId="18" fillId="6" borderId="14" xfId="1" applyFont="1" applyFill="1" applyBorder="1"/>
    <xf numFmtId="165" fontId="21" fillId="6" borderId="23" xfId="13" applyFont="1" applyFill="1" applyBorder="1" applyAlignment="1">
      <alignment horizontal="center"/>
    </xf>
    <xf numFmtId="0" fontId="18" fillId="0" borderId="24" xfId="1" applyFont="1" applyBorder="1"/>
    <xf numFmtId="165" fontId="22" fillId="0" borderId="24" xfId="1" applyNumberFormat="1" applyFont="1" applyBorder="1"/>
    <xf numFmtId="165" fontId="21" fillId="6" borderId="25" xfId="13" applyFont="1" applyFill="1" applyBorder="1" applyAlignment="1">
      <alignment horizontal="center"/>
    </xf>
    <xf numFmtId="165" fontId="21" fillId="6" borderId="26" xfId="13" applyFont="1" applyFill="1" applyBorder="1" applyAlignment="1">
      <alignment horizontal="center"/>
    </xf>
    <xf numFmtId="165" fontId="21" fillId="6" borderId="27" xfId="13" applyFont="1" applyFill="1" applyBorder="1" applyAlignment="1">
      <alignment horizontal="center"/>
    </xf>
    <xf numFmtId="165" fontId="21" fillId="6" borderId="28" xfId="13" applyFont="1" applyFill="1" applyBorder="1" applyAlignment="1">
      <alignment horizontal="center"/>
    </xf>
    <xf numFmtId="165" fontId="21" fillId="6" borderId="16" xfId="13" applyFont="1" applyFill="1" applyBorder="1" applyAlignment="1">
      <alignment horizontal="center"/>
    </xf>
    <xf numFmtId="165" fontId="21" fillId="6" borderId="14" xfId="13" applyFont="1" applyFill="1" applyBorder="1" applyAlignment="1">
      <alignment horizontal="center"/>
    </xf>
    <xf numFmtId="165" fontId="21" fillId="6" borderId="17" xfId="13" applyFont="1" applyFill="1" applyBorder="1" applyAlignment="1">
      <alignment horizontal="center"/>
    </xf>
    <xf numFmtId="165" fontId="21" fillId="6" borderId="10" xfId="13" applyFont="1" applyFill="1" applyBorder="1" applyAlignment="1">
      <alignment horizontal="center"/>
    </xf>
    <xf numFmtId="165" fontId="21" fillId="6" borderId="29" xfId="13" applyFont="1" applyFill="1" applyBorder="1" applyAlignment="1">
      <alignment horizontal="center"/>
    </xf>
    <xf numFmtId="165" fontId="21" fillId="6" borderId="0" xfId="13" applyFont="1" applyFill="1" applyAlignment="1">
      <alignment horizontal="center"/>
    </xf>
    <xf numFmtId="165" fontId="21" fillId="6" borderId="24" xfId="13" applyFont="1" applyFill="1" applyBorder="1" applyAlignment="1">
      <alignment horizontal="center"/>
    </xf>
    <xf numFmtId="165" fontId="21" fillId="6" borderId="15" xfId="13" applyFont="1" applyFill="1" applyBorder="1" applyAlignment="1">
      <alignment horizontal="center"/>
    </xf>
    <xf numFmtId="165" fontId="21" fillId="0" borderId="25" xfId="13" applyFont="1" applyBorder="1" applyAlignment="1">
      <alignment horizontal="center"/>
    </xf>
    <xf numFmtId="165" fontId="21" fillId="4" borderId="30" xfId="13" applyFont="1" applyFill="1" applyBorder="1" applyAlignment="1">
      <alignment horizontal="center"/>
    </xf>
    <xf numFmtId="0" fontId="18" fillId="0" borderId="31" xfId="1" applyFont="1" applyBorder="1"/>
    <xf numFmtId="165" fontId="21" fillId="0" borderId="23" xfId="13" applyFont="1" applyBorder="1" applyAlignment="1">
      <alignment horizontal="center"/>
    </xf>
    <xf numFmtId="165" fontId="21" fillId="4" borderId="23" xfId="13" applyFont="1" applyFill="1" applyBorder="1" applyAlignment="1">
      <alignment horizontal="center"/>
    </xf>
    <xf numFmtId="165" fontId="21" fillId="0" borderId="32" xfId="13" applyFont="1" applyBorder="1" applyAlignment="1">
      <alignment horizontal="center"/>
    </xf>
    <xf numFmtId="165" fontId="21" fillId="4" borderId="32" xfId="13" applyFont="1" applyFill="1" applyBorder="1" applyAlignment="1">
      <alignment horizontal="center"/>
    </xf>
    <xf numFmtId="165" fontId="21" fillId="4" borderId="33" xfId="13" applyFont="1" applyFill="1" applyBorder="1" applyAlignment="1">
      <alignment horizontal="center"/>
    </xf>
    <xf numFmtId="165" fontId="21" fillId="4" borderId="31" xfId="13" applyFont="1" applyFill="1" applyBorder="1" applyAlignment="1">
      <alignment horizontal="center"/>
    </xf>
    <xf numFmtId="165" fontId="21" fillId="0" borderId="30" xfId="13" applyFont="1" applyBorder="1" applyAlignment="1">
      <alignment horizontal="center"/>
    </xf>
    <xf numFmtId="165" fontId="21" fillId="0" borderId="31" xfId="13" applyFont="1" applyBorder="1" applyAlignment="1">
      <alignment horizontal="center"/>
    </xf>
    <xf numFmtId="165" fontId="21" fillId="0" borderId="33" xfId="13" applyFont="1" applyBorder="1" applyAlignment="1">
      <alignment horizontal="center"/>
    </xf>
    <xf numFmtId="165" fontId="21" fillId="4" borderId="0" xfId="13" applyFont="1" applyFill="1" applyAlignment="1">
      <alignment horizontal="center"/>
    </xf>
    <xf numFmtId="165" fontId="21" fillId="4" borderId="24" xfId="13" applyFont="1" applyFill="1" applyBorder="1" applyAlignment="1">
      <alignment horizontal="center"/>
    </xf>
    <xf numFmtId="165" fontId="21" fillId="4" borderId="29" xfId="13" applyFont="1" applyFill="1" applyBorder="1" applyAlignment="1">
      <alignment horizontal="center"/>
    </xf>
    <xf numFmtId="165" fontId="21" fillId="4" borderId="15" xfId="13" applyFont="1" applyFill="1" applyBorder="1" applyAlignment="1">
      <alignment horizontal="center"/>
    </xf>
    <xf numFmtId="0" fontId="18" fillId="6" borderId="24" xfId="1" applyFont="1" applyFill="1" applyBorder="1"/>
    <xf numFmtId="165" fontId="21" fillId="6" borderId="32" xfId="13" applyFont="1" applyFill="1" applyBorder="1" applyAlignment="1">
      <alignment horizontal="center"/>
    </xf>
    <xf numFmtId="165" fontId="21" fillId="6" borderId="30" xfId="13" applyFont="1" applyFill="1" applyBorder="1" applyAlignment="1">
      <alignment horizontal="center"/>
    </xf>
    <xf numFmtId="165" fontId="21" fillId="6" borderId="33" xfId="13" applyFont="1" applyFill="1" applyBorder="1" applyAlignment="1">
      <alignment horizontal="center"/>
    </xf>
    <xf numFmtId="165" fontId="21" fillId="6" borderId="31" xfId="13" applyFont="1" applyFill="1" applyBorder="1" applyAlignment="1">
      <alignment horizontal="center"/>
    </xf>
    <xf numFmtId="0" fontId="18" fillId="6" borderId="31" xfId="1" applyFont="1" applyFill="1" applyBorder="1"/>
    <xf numFmtId="0" fontId="18" fillId="0" borderId="18" xfId="1" applyFont="1" applyBorder="1"/>
    <xf numFmtId="165" fontId="21" fillId="0" borderId="34" xfId="13" applyFont="1" applyBorder="1" applyAlignment="1">
      <alignment horizontal="center"/>
    </xf>
    <xf numFmtId="165" fontId="21" fillId="4" borderId="35" xfId="13" applyFont="1" applyFill="1" applyBorder="1" applyAlignment="1">
      <alignment horizontal="center"/>
    </xf>
    <xf numFmtId="165" fontId="21" fillId="4" borderId="34" xfId="13" applyFont="1" applyFill="1" applyBorder="1" applyAlignment="1">
      <alignment horizontal="center"/>
    </xf>
    <xf numFmtId="165" fontId="21" fillId="4" borderId="36" xfId="13" applyFont="1" applyFill="1" applyBorder="1" applyAlignment="1">
      <alignment horizontal="center"/>
    </xf>
    <xf numFmtId="165" fontId="21" fillId="4" borderId="37" xfId="13" applyFont="1" applyFill="1" applyBorder="1" applyAlignment="1">
      <alignment horizontal="center"/>
    </xf>
    <xf numFmtId="165" fontId="21" fillId="0" borderId="35" xfId="13" applyFont="1" applyBorder="1" applyAlignment="1">
      <alignment horizontal="center"/>
    </xf>
    <xf numFmtId="165" fontId="21" fillId="0" borderId="37" xfId="13" applyFont="1" applyBorder="1" applyAlignment="1">
      <alignment horizontal="center"/>
    </xf>
    <xf numFmtId="165" fontId="21" fillId="0" borderId="36" xfId="13" applyFont="1" applyBorder="1" applyAlignment="1">
      <alignment horizontal="center"/>
    </xf>
    <xf numFmtId="165" fontId="21" fillId="4" borderId="21" xfId="13" applyFont="1" applyFill="1" applyBorder="1" applyAlignment="1">
      <alignment horizontal="center"/>
    </xf>
    <xf numFmtId="165" fontId="21" fillId="4" borderId="19" xfId="13" applyFont="1" applyFill="1" applyBorder="1" applyAlignment="1">
      <alignment horizontal="center"/>
    </xf>
    <xf numFmtId="165" fontId="21" fillId="4" borderId="38" xfId="13" applyFont="1" applyFill="1" applyBorder="1" applyAlignment="1">
      <alignment horizontal="center"/>
    </xf>
    <xf numFmtId="165" fontId="21" fillId="4" borderId="39" xfId="13" applyFont="1" applyFill="1" applyBorder="1" applyAlignment="1">
      <alignment horizontal="center"/>
    </xf>
    <xf numFmtId="165" fontId="21" fillId="0" borderId="39" xfId="13" applyFont="1" applyBorder="1" applyAlignment="1">
      <alignment horizontal="center"/>
    </xf>
    <xf numFmtId="165" fontId="21" fillId="4" borderId="40" xfId="13" applyFont="1" applyFill="1" applyBorder="1" applyAlignment="1">
      <alignment horizontal="center"/>
    </xf>
    <xf numFmtId="165" fontId="21" fillId="4" borderId="41" xfId="13" applyFont="1" applyFill="1" applyBorder="1" applyAlignment="1">
      <alignment horizontal="center"/>
    </xf>
    <xf numFmtId="0" fontId="18" fillId="0" borderId="11" xfId="1" applyFont="1" applyBorder="1"/>
    <xf numFmtId="165" fontId="20" fillId="0" borderId="22" xfId="13" applyFont="1" applyBorder="1"/>
    <xf numFmtId="165" fontId="20" fillId="4" borderId="22" xfId="13" applyFont="1" applyFill="1" applyBorder="1"/>
    <xf numFmtId="165" fontId="20" fillId="0" borderId="18" xfId="13" applyFont="1" applyBorder="1"/>
    <xf numFmtId="165" fontId="20" fillId="4" borderId="18" xfId="13" applyFont="1" applyFill="1" applyBorder="1"/>
    <xf numFmtId="165" fontId="20" fillId="4" borderId="21" xfId="13" applyFont="1" applyFill="1" applyBorder="1"/>
    <xf numFmtId="165" fontId="20" fillId="4" borderId="20" xfId="13" applyFont="1" applyFill="1" applyBorder="1"/>
    <xf numFmtId="165" fontId="20" fillId="0" borderId="19" xfId="13" applyFont="1" applyBorder="1"/>
    <xf numFmtId="165" fontId="20" fillId="4" borderId="19" xfId="13" applyFont="1" applyFill="1" applyBorder="1"/>
    <xf numFmtId="165" fontId="20" fillId="4" borderId="12" xfId="13" applyFont="1" applyFill="1" applyBorder="1"/>
    <xf numFmtId="165" fontId="20" fillId="0" borderId="21" xfId="13" applyFont="1" applyBorder="1"/>
    <xf numFmtId="165" fontId="20" fillId="0" borderId="20" xfId="13" applyFont="1" applyBorder="1"/>
    <xf numFmtId="165" fontId="20" fillId="4" borderId="13" xfId="13" applyFont="1" applyFill="1" applyBorder="1"/>
    <xf numFmtId="165" fontId="20" fillId="4" borderId="11" xfId="13" applyFont="1" applyFill="1" applyBorder="1"/>
    <xf numFmtId="166" fontId="20" fillId="0" borderId="15" xfId="13" applyNumberFormat="1" applyFont="1" applyBorder="1"/>
    <xf numFmtId="166" fontId="20" fillId="4" borderId="15" xfId="13" applyNumberFormat="1" applyFont="1" applyFill="1" applyBorder="1"/>
    <xf numFmtId="165" fontId="20" fillId="0" borderId="42" xfId="13" applyFont="1" applyBorder="1"/>
    <xf numFmtId="165" fontId="20" fillId="4" borderId="42" xfId="13" applyFont="1" applyFill="1" applyBorder="1"/>
    <xf numFmtId="165" fontId="20" fillId="4" borderId="23" xfId="13" applyFont="1" applyFill="1" applyBorder="1"/>
    <xf numFmtId="165" fontId="20" fillId="4" borderId="43" xfId="13" applyFont="1" applyFill="1" applyBorder="1"/>
    <xf numFmtId="165" fontId="20" fillId="0" borderId="23" xfId="13" applyFont="1" applyBorder="1"/>
    <xf numFmtId="165" fontId="20" fillId="4" borderId="44" xfId="13" applyFont="1" applyFill="1" applyBorder="1"/>
    <xf numFmtId="165" fontId="20" fillId="0" borderId="43" xfId="13" applyFont="1" applyBorder="1"/>
    <xf numFmtId="165" fontId="20" fillId="0" borderId="44" xfId="13" applyFont="1" applyBorder="1"/>
    <xf numFmtId="165" fontId="20" fillId="4" borderId="15" xfId="13" applyFont="1" applyFill="1" applyBorder="1"/>
    <xf numFmtId="165" fontId="20" fillId="0" borderId="28" xfId="13" applyFont="1" applyBorder="1"/>
    <xf numFmtId="165" fontId="20" fillId="0" borderId="24" xfId="13" applyFont="1" applyBorder="1"/>
    <xf numFmtId="165" fontId="20" fillId="4" borderId="0" xfId="13" applyFont="1" applyFill="1"/>
    <xf numFmtId="165" fontId="20" fillId="0" borderId="10" xfId="13" applyFont="1" applyBorder="1"/>
    <xf numFmtId="165" fontId="20" fillId="4" borderId="24" xfId="13" applyFont="1" applyFill="1" applyBorder="1"/>
    <xf numFmtId="165" fontId="20" fillId="0" borderId="16" xfId="13" applyFont="1" applyBorder="1"/>
    <xf numFmtId="165" fontId="20" fillId="0" borderId="25" xfId="13" applyFont="1" applyBorder="1"/>
    <xf numFmtId="165" fontId="20" fillId="0" borderId="0" xfId="13" applyFont="1"/>
    <xf numFmtId="165" fontId="20" fillId="0" borderId="15" xfId="13" applyFont="1" applyBorder="1"/>
    <xf numFmtId="165" fontId="20" fillId="4" borderId="29" xfId="13" applyFont="1" applyFill="1" applyBorder="1"/>
    <xf numFmtId="165" fontId="20" fillId="0" borderId="14" xfId="13" applyFont="1" applyBorder="1"/>
    <xf numFmtId="165" fontId="20" fillId="0" borderId="27" xfId="13" applyFont="1" applyBorder="1"/>
    <xf numFmtId="165" fontId="20" fillId="0" borderId="26" xfId="13" applyFont="1" applyBorder="1"/>
    <xf numFmtId="165" fontId="21" fillId="0" borderId="2" xfId="13" applyFont="1" applyBorder="1" applyAlignment="1">
      <alignment horizontal="center"/>
    </xf>
    <xf numFmtId="165" fontId="21" fillId="4" borderId="43" xfId="13" applyFont="1" applyFill="1" applyBorder="1" applyAlignment="1">
      <alignment horizontal="center"/>
    </xf>
    <xf numFmtId="165" fontId="21" fillId="4" borderId="44" xfId="13" applyFont="1" applyFill="1" applyBorder="1" applyAlignment="1">
      <alignment horizontal="center"/>
    </xf>
    <xf numFmtId="165" fontId="21" fillId="0" borderId="42" xfId="13" applyFont="1" applyBorder="1" applyAlignment="1">
      <alignment horizontal="center"/>
    </xf>
    <xf numFmtId="165" fontId="21" fillId="0" borderId="43" xfId="13" applyFont="1" applyBorder="1" applyAlignment="1">
      <alignment horizontal="center"/>
    </xf>
    <xf numFmtId="165" fontId="20" fillId="4" borderId="14" xfId="13" applyFont="1" applyFill="1" applyBorder="1"/>
    <xf numFmtId="165" fontId="20" fillId="4" borderId="10" xfId="13" applyFont="1" applyFill="1" applyBorder="1"/>
    <xf numFmtId="165" fontId="20" fillId="4" borderId="17" xfId="13" applyFont="1" applyFill="1" applyBorder="1"/>
    <xf numFmtId="165" fontId="20" fillId="4" borderId="16" xfId="13" applyFont="1" applyFill="1" applyBorder="1"/>
    <xf numFmtId="165" fontId="20" fillId="0" borderId="17" xfId="13" applyFont="1" applyBorder="1"/>
    <xf numFmtId="165" fontId="20" fillId="0" borderId="11" xfId="13" applyFont="1" applyBorder="1"/>
    <xf numFmtId="165" fontId="20" fillId="0" borderId="13" xfId="13" applyFont="1" applyBorder="1"/>
    <xf numFmtId="165" fontId="20" fillId="0" borderId="12" xfId="13" applyFont="1" applyBorder="1"/>
    <xf numFmtId="0" fontId="18" fillId="0" borderId="14" xfId="1" applyFont="1" applyBorder="1"/>
    <xf numFmtId="0" fontId="23" fillId="0" borderId="10" xfId="1" applyFont="1" applyBorder="1"/>
    <xf numFmtId="0" fontId="23" fillId="4" borderId="10" xfId="1" applyFont="1" applyFill="1" applyBorder="1"/>
    <xf numFmtId="0" fontId="23" fillId="0" borderId="14" xfId="1" applyFont="1" applyBorder="1"/>
    <xf numFmtId="0" fontId="23" fillId="4" borderId="14" xfId="1" applyFont="1" applyFill="1" applyBorder="1"/>
    <xf numFmtId="0" fontId="23" fillId="4" borderId="17" xfId="1" applyFont="1" applyFill="1" applyBorder="1"/>
    <xf numFmtId="0" fontId="23" fillId="0" borderId="16" xfId="1" applyFont="1" applyBorder="1"/>
    <xf numFmtId="0" fontId="23" fillId="4" borderId="16" xfId="1" applyFont="1" applyFill="1" applyBorder="1"/>
    <xf numFmtId="165" fontId="23" fillId="0" borderId="0" xfId="1" applyNumberFormat="1" applyFont="1"/>
    <xf numFmtId="165" fontId="23" fillId="0" borderId="14" xfId="1" applyNumberFormat="1" applyFont="1" applyBorder="1"/>
    <xf numFmtId="165" fontId="23" fillId="0" borderId="24" xfId="1" applyNumberFormat="1" applyFont="1" applyBorder="1"/>
    <xf numFmtId="165" fontId="23" fillId="0" borderId="10" xfId="1" applyNumberFormat="1" applyFont="1" applyBorder="1"/>
    <xf numFmtId="165" fontId="23" fillId="0" borderId="16" xfId="1" applyNumberFormat="1" applyFont="1" applyBorder="1"/>
    <xf numFmtId="165" fontId="23" fillId="0" borderId="15" xfId="1" applyNumberFormat="1" applyFont="1" applyBorder="1"/>
    <xf numFmtId="165" fontId="23" fillId="0" borderId="17" xfId="1" applyNumberFormat="1" applyFont="1" applyBorder="1"/>
    <xf numFmtId="0" fontId="23" fillId="0" borderId="21" xfId="1" applyFont="1" applyBorder="1"/>
    <xf numFmtId="0" fontId="23" fillId="4" borderId="21" xfId="1" applyFont="1" applyFill="1" applyBorder="1"/>
    <xf numFmtId="0" fontId="23" fillId="0" borderId="18" xfId="1" applyFont="1" applyBorder="1"/>
    <xf numFmtId="0" fontId="23" fillId="4" borderId="18" xfId="1" applyFont="1" applyFill="1" applyBorder="1"/>
    <xf numFmtId="0" fontId="23" fillId="4" borderId="20" xfId="1" applyFont="1" applyFill="1" applyBorder="1"/>
    <xf numFmtId="0" fontId="23" fillId="0" borderId="19" xfId="1" applyFont="1" applyBorder="1"/>
    <xf numFmtId="0" fontId="23" fillId="4" borderId="19" xfId="1" applyFont="1" applyFill="1" applyBorder="1"/>
    <xf numFmtId="165" fontId="23" fillId="0" borderId="19" xfId="1" applyNumberFormat="1" applyFont="1" applyBorder="1"/>
    <xf numFmtId="165" fontId="23" fillId="0" borderId="18" xfId="1" applyNumberFormat="1" applyFont="1" applyBorder="1"/>
    <xf numFmtId="165" fontId="23" fillId="0" borderId="21" xfId="1" applyNumberFormat="1" applyFont="1" applyBorder="1"/>
    <xf numFmtId="165" fontId="23" fillId="0" borderId="20" xfId="1" applyNumberFormat="1" applyFont="1" applyBorder="1"/>
    <xf numFmtId="165" fontId="20" fillId="0" borderId="34" xfId="13" applyFont="1" applyBorder="1" applyAlignment="1">
      <alignment horizontal="center"/>
    </xf>
    <xf numFmtId="165" fontId="20" fillId="4" borderId="34" xfId="13" applyFont="1" applyFill="1" applyBorder="1" applyAlignment="1">
      <alignment horizontal="center"/>
    </xf>
    <xf numFmtId="165" fontId="20" fillId="0" borderId="18" xfId="13" applyFont="1" applyBorder="1" applyAlignment="1">
      <alignment horizontal="center"/>
    </xf>
    <xf numFmtId="165" fontId="20" fillId="4" borderId="18" xfId="13" applyFont="1" applyFill="1" applyBorder="1" applyAlignment="1">
      <alignment horizontal="center"/>
    </xf>
    <xf numFmtId="165" fontId="20" fillId="4" borderId="21" xfId="13" applyFont="1" applyFill="1" applyBorder="1" applyAlignment="1">
      <alignment horizontal="center"/>
    </xf>
    <xf numFmtId="165" fontId="20" fillId="4" borderId="20" xfId="13" applyFont="1" applyFill="1" applyBorder="1" applyAlignment="1">
      <alignment horizontal="center"/>
    </xf>
    <xf numFmtId="165" fontId="20" fillId="0" borderId="21" xfId="13" applyFont="1" applyBorder="1" applyAlignment="1">
      <alignment horizontal="center"/>
    </xf>
    <xf numFmtId="165" fontId="20" fillId="0" borderId="19" xfId="13" applyFont="1" applyBorder="1" applyAlignment="1">
      <alignment horizontal="center"/>
    </xf>
    <xf numFmtId="165" fontId="20" fillId="4" borderId="19" xfId="13" applyFont="1" applyFill="1" applyBorder="1" applyAlignment="1">
      <alignment horizontal="center"/>
    </xf>
    <xf numFmtId="165" fontId="20" fillId="0" borderId="12" xfId="13" applyFont="1" applyBorder="1" applyAlignment="1">
      <alignment horizontal="center"/>
    </xf>
    <xf numFmtId="165" fontId="20" fillId="0" borderId="11" xfId="13" applyFont="1" applyBorder="1" applyAlignment="1">
      <alignment horizontal="center"/>
    </xf>
    <xf numFmtId="165" fontId="20" fillId="0" borderId="22" xfId="13" applyFont="1" applyBorder="1" applyAlignment="1">
      <alignment horizontal="center"/>
    </xf>
    <xf numFmtId="165" fontId="20" fillId="0" borderId="13" xfId="13" applyFont="1" applyBorder="1" applyAlignment="1">
      <alignment horizontal="center"/>
    </xf>
    <xf numFmtId="0" fontId="20" fillId="0" borderId="0" xfId="1" applyFont="1"/>
    <xf numFmtId="165" fontId="24" fillId="0" borderId="0" xfId="1" applyNumberFormat="1" applyFont="1"/>
    <xf numFmtId="0" fontId="24" fillId="0" borderId="0" xfId="1" applyFont="1"/>
    <xf numFmtId="165" fontId="25" fillId="0" borderId="0" xfId="1" applyNumberFormat="1" applyFont="1"/>
    <xf numFmtId="165" fontId="21" fillId="0" borderId="0" xfId="1" applyNumberFormat="1" applyFont="1"/>
    <xf numFmtId="165" fontId="26" fillId="0" borderId="0" xfId="1" applyNumberFormat="1" applyFont="1"/>
    <xf numFmtId="0" fontId="23" fillId="0" borderId="0" xfId="1" applyFont="1"/>
    <xf numFmtId="0" fontId="27" fillId="0" borderId="0" xfId="1" applyFont="1" applyAlignment="1">
      <alignment horizontal="center" vertical="center" wrapText="1"/>
    </xf>
    <xf numFmtId="165" fontId="27" fillId="0" borderId="0" xfId="1" applyNumberFormat="1" applyFont="1" applyAlignment="1">
      <alignment horizontal="center" vertical="center" wrapText="1"/>
    </xf>
    <xf numFmtId="165" fontId="27" fillId="0" borderId="0" xfId="1" applyNumberFormat="1" applyFont="1"/>
    <xf numFmtId="165" fontId="27" fillId="0" borderId="0" xfId="1" applyNumberFormat="1" applyFont="1" applyAlignment="1">
      <alignment vertical="center" wrapText="1"/>
    </xf>
    <xf numFmtId="0" fontId="28" fillId="0" borderId="0" xfId="1" applyFont="1" applyAlignment="1">
      <alignment vertical="center" wrapText="1"/>
    </xf>
    <xf numFmtId="0" fontId="1" fillId="0" borderId="0" xfId="1" applyAlignment="1">
      <alignment vertical="center"/>
    </xf>
    <xf numFmtId="167" fontId="29" fillId="0" borderId="2" xfId="1" applyNumberFormat="1" applyFont="1" applyBorder="1" applyAlignment="1">
      <alignment horizontal="center" vertical="center"/>
    </xf>
    <xf numFmtId="167" fontId="29" fillId="0" borderId="2" xfId="13" applyNumberFormat="1" applyFont="1" applyBorder="1" applyAlignment="1">
      <alignment horizontal="center" vertical="center" wrapText="1"/>
    </xf>
    <xf numFmtId="168" fontId="30" fillId="3" borderId="2" xfId="1" applyNumberFormat="1" applyFont="1" applyFill="1" applyBorder="1"/>
    <xf numFmtId="168" fontId="30" fillId="3" borderId="2" xfId="13" applyNumberFormat="1" applyFont="1" applyFill="1" applyBorder="1"/>
    <xf numFmtId="43" fontId="31" fillId="0" borderId="2" xfId="1" applyNumberFormat="1" applyFont="1" applyBorder="1"/>
    <xf numFmtId="0" fontId="2" fillId="0" borderId="0" xfId="1" applyFont="1" applyAlignment="1">
      <alignment vertical="center"/>
    </xf>
    <xf numFmtId="0" fontId="2" fillId="0" borderId="0" xfId="1" applyFont="1" applyAlignment="1">
      <alignment horizontal="center" vertical="center"/>
    </xf>
    <xf numFmtId="165" fontId="2" fillId="0" borderId="0" xfId="13" applyFont="1" applyAlignment="1">
      <alignment vertical="center"/>
    </xf>
    <xf numFmtId="0" fontId="32" fillId="0" borderId="2" xfId="1" applyFont="1" applyBorder="1" applyAlignment="1">
      <alignment horizontal="center" vertical="center" wrapText="1"/>
    </xf>
    <xf numFmtId="165" fontId="32" fillId="3" borderId="2" xfId="13" applyFont="1" applyFill="1" applyBorder="1" applyAlignment="1">
      <alignment horizontal="center" vertical="center" wrapText="1"/>
    </xf>
    <xf numFmtId="0" fontId="32" fillId="3" borderId="2" xfId="1" applyFont="1" applyFill="1" applyBorder="1" applyAlignment="1">
      <alignment horizontal="center" vertical="center" wrapText="1"/>
    </xf>
    <xf numFmtId="169" fontId="33" fillId="0" borderId="2" xfId="1" applyNumberFormat="1" applyFont="1" applyBorder="1" applyAlignment="1">
      <alignment vertical="center" wrapText="1"/>
    </xf>
    <xf numFmtId="169" fontId="33" fillId="0" borderId="2" xfId="1" applyNumberFormat="1" applyFont="1" applyBorder="1" applyAlignment="1">
      <alignment horizontal="center" vertical="center" wrapText="1"/>
    </xf>
    <xf numFmtId="165" fontId="33" fillId="0" borderId="2" xfId="13" applyFont="1" applyBorder="1" applyAlignment="1">
      <alignment vertical="center"/>
    </xf>
    <xf numFmtId="165" fontId="33" fillId="0" borderId="2" xfId="13" applyFont="1" applyBorder="1" applyAlignment="1">
      <alignment horizontal="right" vertical="center" shrinkToFit="1"/>
    </xf>
    <xf numFmtId="165" fontId="33" fillId="0" borderId="2" xfId="1" applyNumberFormat="1" applyFont="1" applyBorder="1" applyAlignment="1">
      <alignment vertical="center"/>
    </xf>
    <xf numFmtId="0" fontId="33" fillId="0" borderId="0" xfId="1" applyFont="1" applyAlignment="1">
      <alignment vertical="center"/>
    </xf>
    <xf numFmtId="165" fontId="33" fillId="0" borderId="2" xfId="13" applyFont="1" applyBorder="1" applyAlignment="1">
      <alignment horizontal="center" vertical="center" wrapText="1"/>
    </xf>
    <xf numFmtId="165" fontId="33" fillId="0" borderId="2" xfId="1" applyNumberFormat="1" applyFont="1" applyBorder="1" applyAlignment="1">
      <alignment horizontal="center" vertical="center"/>
    </xf>
    <xf numFmtId="169" fontId="33" fillId="0" borderId="2" xfId="1" applyNumberFormat="1" applyFont="1" applyBorder="1" applyAlignment="1">
      <alignment horizontal="left" vertical="center" wrapText="1"/>
    </xf>
    <xf numFmtId="165" fontId="34" fillId="0" borderId="2" xfId="13" applyFont="1" applyBorder="1" applyAlignment="1">
      <alignment horizontal="right" vertical="center" shrinkToFit="1"/>
    </xf>
    <xf numFmtId="165" fontId="33" fillId="0" borderId="2" xfId="13" applyFont="1" applyBorder="1" applyAlignment="1">
      <alignment vertical="center" wrapText="1"/>
    </xf>
    <xf numFmtId="0" fontId="35" fillId="0" borderId="2" xfId="1" applyFont="1" applyBorder="1" applyAlignment="1">
      <alignment horizontal="left" vertical="center" wrapText="1"/>
    </xf>
    <xf numFmtId="0" fontId="2" fillId="0" borderId="45" xfId="1" applyFont="1" applyBorder="1" applyAlignment="1">
      <alignment horizontal="center" vertical="center" wrapText="1"/>
    </xf>
    <xf numFmtId="165" fontId="10" fillId="0" borderId="2" xfId="13" applyFont="1" applyBorder="1" applyAlignment="1">
      <alignment horizontal="right" vertical="center" shrinkToFit="1"/>
    </xf>
    <xf numFmtId="0" fontId="36" fillId="3" borderId="2" xfId="1" applyFont="1" applyFill="1" applyBorder="1" applyAlignment="1">
      <alignment horizontal="center" vertical="center" wrapText="1"/>
    </xf>
    <xf numFmtId="0" fontId="2" fillId="3" borderId="45" xfId="1" applyFont="1" applyFill="1" applyBorder="1" applyAlignment="1">
      <alignment horizontal="center" vertical="center" wrapText="1"/>
    </xf>
    <xf numFmtId="165" fontId="33" fillId="3" borderId="2" xfId="13" applyFont="1" applyFill="1" applyBorder="1" applyAlignment="1">
      <alignment vertical="center"/>
    </xf>
    <xf numFmtId="165" fontId="33" fillId="3" borderId="2" xfId="1" applyNumberFormat="1" applyFont="1" applyFill="1" applyBorder="1" applyAlignment="1">
      <alignment vertical="center"/>
    </xf>
    <xf numFmtId="165" fontId="33" fillId="0" borderId="0" xfId="13" applyFont="1" applyAlignment="1">
      <alignment vertical="center"/>
    </xf>
    <xf numFmtId="165" fontId="33" fillId="0" borderId="0" xfId="1" applyNumberFormat="1" applyFont="1" applyAlignment="1">
      <alignment vertical="center"/>
    </xf>
    <xf numFmtId="0" fontId="36" fillId="0" borderId="2" xfId="1" applyFont="1" applyBorder="1" applyAlignment="1">
      <alignment horizontal="center" vertical="center" wrapText="1"/>
    </xf>
    <xf numFmtId="165" fontId="36" fillId="3" borderId="2" xfId="13" applyFont="1" applyFill="1" applyBorder="1" applyAlignment="1">
      <alignment horizontal="center" vertical="center" wrapText="1"/>
    </xf>
    <xf numFmtId="165" fontId="37" fillId="0" borderId="2" xfId="13" applyFont="1" applyBorder="1" applyAlignment="1">
      <alignment horizontal="right" vertical="center" shrinkToFit="1"/>
    </xf>
    <xf numFmtId="0" fontId="2" fillId="0" borderId="0" xfId="1" applyFont="1" applyAlignment="1">
      <alignment horizontal="left" vertical="center"/>
    </xf>
    <xf numFmtId="0" fontId="35" fillId="0" borderId="0" xfId="1" applyFont="1" applyAlignment="1">
      <alignment vertical="center"/>
    </xf>
    <xf numFmtId="0" fontId="35" fillId="0" borderId="0" xfId="1" applyFont="1" applyAlignment="1">
      <alignment horizontal="center" vertical="center" wrapText="1"/>
    </xf>
    <xf numFmtId="0" fontId="2" fillId="0" borderId="0" xfId="1" applyFont="1" applyAlignment="1">
      <alignment horizontal="center" vertical="center" wrapText="1"/>
    </xf>
    <xf numFmtId="0" fontId="36" fillId="9" borderId="2" xfId="1" quotePrefix="1" applyFont="1" applyFill="1" applyBorder="1" applyAlignment="1">
      <alignment horizontal="center" vertical="center" wrapText="1"/>
    </xf>
    <xf numFmtId="0" fontId="36" fillId="9" borderId="2" xfId="1" applyFont="1" applyFill="1" applyBorder="1" applyAlignment="1">
      <alignment vertical="center" wrapText="1"/>
    </xf>
    <xf numFmtId="0" fontId="32" fillId="9" borderId="2" xfId="1" applyFont="1" applyFill="1" applyBorder="1" applyAlignment="1">
      <alignment horizontal="center" vertical="center" wrapText="1"/>
    </xf>
    <xf numFmtId="165" fontId="38" fillId="9" borderId="2" xfId="1" applyNumberFormat="1" applyFont="1" applyFill="1" applyBorder="1" applyAlignment="1">
      <alignment horizontal="center" vertical="center" wrapText="1"/>
    </xf>
    <xf numFmtId="166" fontId="38" fillId="0" borderId="0" xfId="13" applyNumberFormat="1" applyFont="1" applyAlignment="1">
      <alignment horizontal="center" vertical="center" wrapText="1"/>
    </xf>
    <xf numFmtId="0" fontId="36" fillId="0" borderId="2" xfId="1" quotePrefix="1" applyFont="1" applyBorder="1" applyAlignment="1">
      <alignment horizontal="center" vertical="center" wrapText="1"/>
    </xf>
    <xf numFmtId="0" fontId="38" fillId="0" borderId="2" xfId="1" applyFont="1" applyBorder="1" applyAlignment="1">
      <alignment horizontal="center" vertical="center" wrapText="1"/>
    </xf>
    <xf numFmtId="49" fontId="36" fillId="0" borderId="2" xfId="1" applyNumberFormat="1" applyFont="1" applyBorder="1" applyAlignment="1">
      <alignment horizontal="center" vertical="center" wrapText="1"/>
    </xf>
    <xf numFmtId="0" fontId="36" fillId="0" borderId="2" xfId="1" applyFont="1" applyBorder="1" applyAlignment="1">
      <alignment horizontal="left" vertical="center" wrapText="1"/>
    </xf>
    <xf numFmtId="0" fontId="2" fillId="0" borderId="2" xfId="1" applyFont="1" applyBorder="1" applyAlignment="1">
      <alignment horizontal="center" vertical="center" wrapText="1"/>
    </xf>
    <xf numFmtId="4" fontId="2" fillId="0" borderId="2" xfId="14" applyNumberFormat="1" applyFont="1" applyBorder="1" applyAlignment="1">
      <alignment horizontal="center" vertical="center"/>
    </xf>
    <xf numFmtId="165" fontId="39" fillId="0" borderId="2" xfId="13" applyFont="1" applyBorder="1" applyAlignment="1">
      <alignment horizontal="center" vertical="center" wrapText="1"/>
    </xf>
    <xf numFmtId="165" fontId="38" fillId="0" borderId="2" xfId="13" applyFont="1" applyBorder="1" applyAlignment="1">
      <alignment vertical="center"/>
    </xf>
    <xf numFmtId="0" fontId="2" fillId="0" borderId="2" xfId="1" quotePrefix="1" applyFont="1" applyBorder="1" applyAlignment="1">
      <alignment horizontal="center" vertical="center" wrapText="1"/>
    </xf>
    <xf numFmtId="4" fontId="33" fillId="0" borderId="2" xfId="14" applyNumberFormat="1" applyFont="1" applyBorder="1" applyAlignment="1">
      <alignment horizontal="center" vertical="center"/>
    </xf>
    <xf numFmtId="165" fontId="32" fillId="0" borderId="2" xfId="13" applyFont="1" applyBorder="1" applyAlignment="1">
      <alignment horizontal="center" vertical="center" wrapText="1"/>
    </xf>
    <xf numFmtId="165" fontId="38" fillId="0" borderId="2" xfId="1" applyNumberFormat="1" applyFont="1" applyBorder="1" applyAlignment="1">
      <alignment horizontal="center" vertical="center" wrapText="1"/>
    </xf>
    <xf numFmtId="165" fontId="37" fillId="0" borderId="0" xfId="1" applyNumberFormat="1" applyFont="1" applyAlignment="1">
      <alignment vertical="center"/>
    </xf>
    <xf numFmtId="49" fontId="40" fillId="4" borderId="2" xfId="1" applyNumberFormat="1" applyFont="1" applyFill="1" applyBorder="1" applyAlignment="1">
      <alignment horizontal="center" vertical="center" wrapText="1"/>
    </xf>
    <xf numFmtId="0" fontId="41" fillId="4" borderId="2" xfId="1" applyFont="1" applyFill="1" applyBorder="1" applyAlignment="1">
      <alignment horizontal="center" vertical="center" wrapText="1"/>
    </xf>
    <xf numFmtId="0" fontId="42" fillId="4" borderId="2" xfId="1" applyFont="1" applyFill="1" applyBorder="1" applyAlignment="1">
      <alignment horizontal="center" vertical="center" wrapText="1"/>
    </xf>
    <xf numFmtId="165" fontId="43" fillId="4" borderId="2" xfId="13" applyFont="1" applyFill="1" applyBorder="1" applyAlignment="1">
      <alignment horizontal="center" vertical="center" wrapText="1"/>
    </xf>
    <xf numFmtId="165" fontId="44" fillId="4" borderId="2" xfId="13" applyFont="1" applyFill="1" applyBorder="1" applyAlignment="1">
      <alignment vertical="center"/>
    </xf>
    <xf numFmtId="165" fontId="45" fillId="4" borderId="2" xfId="13" applyFont="1" applyFill="1" applyBorder="1" applyAlignment="1">
      <alignment vertical="center"/>
    </xf>
    <xf numFmtId="166" fontId="45" fillId="0" borderId="0" xfId="13" applyNumberFormat="1" applyFont="1" applyAlignment="1">
      <alignment horizontal="center" vertical="center" wrapText="1"/>
    </xf>
    <xf numFmtId="0" fontId="46" fillId="0" borderId="0" xfId="1" applyFont="1" applyAlignment="1">
      <alignment vertical="center"/>
    </xf>
    <xf numFmtId="43" fontId="37" fillId="0" borderId="0" xfId="1" applyNumberFormat="1" applyFont="1" applyAlignment="1">
      <alignment vertical="center"/>
    </xf>
    <xf numFmtId="165" fontId="44" fillId="4" borderId="2" xfId="13" applyFont="1" applyFill="1" applyBorder="1" applyAlignment="1">
      <alignment horizontal="center" vertical="center" wrapText="1"/>
    </xf>
    <xf numFmtId="165" fontId="38" fillId="0" borderId="2" xfId="13" applyFont="1" applyBorder="1" applyAlignment="1">
      <alignment horizontal="center" vertical="center" wrapText="1"/>
    </xf>
    <xf numFmtId="49" fontId="32" fillId="9" borderId="2" xfId="1" applyNumberFormat="1" applyFont="1" applyFill="1" applyBorder="1" applyAlignment="1">
      <alignment horizontal="center" vertical="center" wrapText="1"/>
    </xf>
    <xf numFmtId="165" fontId="38" fillId="9" borderId="2" xfId="13" applyFont="1" applyFill="1" applyBorder="1" applyAlignment="1">
      <alignment vertical="center"/>
    </xf>
    <xf numFmtId="49" fontId="32" fillId="0" borderId="2" xfId="1" applyNumberFormat="1" applyFont="1" applyBorder="1" applyAlignment="1">
      <alignment horizontal="center" vertical="center" wrapText="1"/>
    </xf>
    <xf numFmtId="165" fontId="32" fillId="0" borderId="2" xfId="13" applyFont="1" applyBorder="1" applyAlignment="1">
      <alignment vertical="center"/>
    </xf>
    <xf numFmtId="0" fontId="36" fillId="0" borderId="2" xfId="1" applyFont="1" applyBorder="1" applyAlignment="1">
      <alignment vertical="center" wrapText="1"/>
    </xf>
    <xf numFmtId="165" fontId="39" fillId="0" borderId="2" xfId="13" applyFont="1" applyBorder="1" applyAlignment="1">
      <alignment vertical="center"/>
    </xf>
    <xf numFmtId="49" fontId="36" fillId="4" borderId="2" xfId="1" applyNumberFormat="1" applyFont="1" applyFill="1" applyBorder="1" applyAlignment="1">
      <alignment horizontal="center" vertical="center" wrapText="1"/>
    </xf>
    <xf numFmtId="0" fontId="2" fillId="4" borderId="2" xfId="1" applyFont="1" applyFill="1" applyBorder="1" applyAlignment="1">
      <alignment horizontal="center" vertical="center" wrapText="1"/>
    </xf>
    <xf numFmtId="165" fontId="32" fillId="4" borderId="2" xfId="13" applyFont="1" applyFill="1" applyBorder="1" applyAlignment="1">
      <alignment vertical="center"/>
    </xf>
    <xf numFmtId="165" fontId="2" fillId="0" borderId="2" xfId="13" applyFont="1" applyBorder="1" applyAlignment="1">
      <alignment horizontal="center" vertical="center"/>
    </xf>
    <xf numFmtId="166" fontId="47" fillId="0" borderId="0" xfId="1" applyNumberFormat="1" applyFont="1" applyAlignment="1">
      <alignment horizontal="center" vertical="center"/>
    </xf>
    <xf numFmtId="0" fontId="35" fillId="0" borderId="0" xfId="1" applyFont="1" applyAlignment="1">
      <alignment horizontal="center" vertical="center"/>
    </xf>
    <xf numFmtId="165" fontId="48" fillId="0" borderId="0" xfId="1" applyNumberFormat="1" applyFont="1" applyAlignment="1">
      <alignment vertical="center"/>
    </xf>
    <xf numFmtId="165" fontId="32" fillId="4" borderId="2" xfId="13" applyFont="1" applyFill="1" applyBorder="1" applyAlignment="1">
      <alignment horizontal="center" vertical="center"/>
    </xf>
    <xf numFmtId="165" fontId="38" fillId="4" borderId="2" xfId="13" applyFont="1" applyFill="1" applyBorder="1" applyAlignment="1">
      <alignment horizontal="center" vertical="center"/>
    </xf>
    <xf numFmtId="165" fontId="32" fillId="0" borderId="0" xfId="13" applyFont="1" applyAlignment="1">
      <alignment horizontal="center" vertical="center"/>
    </xf>
    <xf numFmtId="165" fontId="36" fillId="0" borderId="0" xfId="13" applyFont="1" applyAlignment="1">
      <alignment vertical="center" wrapText="1"/>
    </xf>
    <xf numFmtId="0" fontId="35" fillId="0" borderId="2" xfId="1" applyFont="1" applyBorder="1" applyAlignment="1">
      <alignment horizontal="center" vertical="center"/>
    </xf>
    <xf numFmtId="165" fontId="32" fillId="0" borderId="0" xfId="13" applyFont="1" applyAlignment="1">
      <alignment horizontal="center" vertical="center" wrapText="1"/>
    </xf>
    <xf numFmtId="4" fontId="10" fillId="0" borderId="2" xfId="15" applyFill="1" applyBorder="1">
      <alignment horizontal="right" shrinkToFit="1"/>
    </xf>
    <xf numFmtId="165" fontId="32" fillId="0" borderId="2" xfId="13" applyFont="1" applyBorder="1" applyAlignment="1">
      <alignment horizontal="center" vertical="center"/>
    </xf>
    <xf numFmtId="4" fontId="39" fillId="0" borderId="2" xfId="15" applyFont="1" applyFill="1" applyBorder="1">
      <alignment horizontal="right" shrinkToFit="1"/>
    </xf>
    <xf numFmtId="165" fontId="36" fillId="0" borderId="0" xfId="13" applyFont="1" applyAlignment="1">
      <alignment horizontal="center" vertical="center"/>
    </xf>
    <xf numFmtId="165" fontId="39" fillId="0" borderId="0" xfId="13" applyFont="1" applyAlignment="1">
      <alignment horizontal="center" vertical="center"/>
    </xf>
    <xf numFmtId="165" fontId="38" fillId="9" borderId="2" xfId="13" applyFont="1" applyFill="1" applyBorder="1" applyAlignment="1">
      <alignment horizontal="center" vertical="center" wrapText="1"/>
    </xf>
    <xf numFmtId="166" fontId="32" fillId="0" borderId="0" xfId="13" applyNumberFormat="1" applyFont="1" applyAlignment="1">
      <alignment vertical="center"/>
    </xf>
    <xf numFmtId="165" fontId="32" fillId="0" borderId="0" xfId="13" applyFont="1" applyAlignment="1">
      <alignment vertical="center"/>
    </xf>
    <xf numFmtId="0" fontId="36" fillId="0" borderId="0" xfId="1" applyFont="1" applyAlignment="1">
      <alignment vertical="center"/>
    </xf>
    <xf numFmtId="166" fontId="32" fillId="0" borderId="0" xfId="13" applyNumberFormat="1" applyFont="1" applyAlignment="1">
      <alignment horizontal="center" vertical="center" wrapText="1"/>
    </xf>
    <xf numFmtId="0" fontId="36" fillId="0" borderId="0" xfId="1" applyFont="1" applyAlignment="1">
      <alignment horizontal="center" vertical="center" wrapText="1"/>
    </xf>
    <xf numFmtId="0" fontId="36" fillId="11" borderId="2" xfId="1" quotePrefix="1" applyFont="1" applyFill="1" applyBorder="1" applyAlignment="1">
      <alignment horizontal="center" vertical="center" wrapText="1"/>
    </xf>
    <xf numFmtId="0" fontId="46" fillId="11" borderId="2" xfId="1" applyFont="1" applyFill="1" applyBorder="1" applyAlignment="1">
      <alignment horizontal="center" vertical="center" wrapText="1"/>
    </xf>
    <xf numFmtId="0" fontId="32" fillId="11" borderId="2" xfId="1" applyFont="1" applyFill="1" applyBorder="1" applyAlignment="1">
      <alignment horizontal="center" vertical="center" wrapText="1"/>
    </xf>
    <xf numFmtId="165" fontId="45" fillId="5" borderId="2" xfId="13" applyFont="1" applyFill="1" applyBorder="1" applyAlignment="1">
      <alignment horizontal="center" vertical="center" wrapText="1"/>
    </xf>
    <xf numFmtId="49" fontId="36" fillId="12" borderId="2" xfId="1" applyNumberFormat="1" applyFont="1" applyFill="1" applyBorder="1" applyAlignment="1">
      <alignment horizontal="center" vertical="center" wrapText="1"/>
    </xf>
    <xf numFmtId="165" fontId="32" fillId="13" borderId="2" xfId="13" applyFont="1" applyFill="1" applyBorder="1" applyAlignment="1">
      <alignment horizontal="center" vertical="center" wrapText="1"/>
    </xf>
    <xf numFmtId="49" fontId="36" fillId="8" borderId="2" xfId="1" applyNumberFormat="1" applyFont="1" applyFill="1" applyBorder="1" applyAlignment="1">
      <alignment horizontal="center" vertical="center" wrapText="1"/>
    </xf>
    <xf numFmtId="0" fontId="46" fillId="8" borderId="2" xfId="1" applyFont="1" applyFill="1" applyBorder="1" applyAlignment="1">
      <alignment horizontal="center" vertical="center" wrapText="1"/>
    </xf>
    <xf numFmtId="49" fontId="32" fillId="8" borderId="2" xfId="1" quotePrefix="1" applyNumberFormat="1" applyFont="1" applyFill="1" applyBorder="1" applyAlignment="1">
      <alignment horizontal="center" vertical="center" wrapText="1"/>
    </xf>
    <xf numFmtId="165" fontId="45" fillId="8" borderId="2" xfId="13" applyFont="1" applyFill="1" applyBorder="1" applyAlignment="1">
      <alignment vertical="center"/>
    </xf>
    <xf numFmtId="165" fontId="44" fillId="8" borderId="2" xfId="13" applyFont="1" applyFill="1" applyBorder="1" applyAlignment="1">
      <alignment vertical="center"/>
    </xf>
    <xf numFmtId="165" fontId="39" fillId="0" borderId="0" xfId="13" applyFont="1" applyAlignment="1">
      <alignment vertical="center"/>
    </xf>
    <xf numFmtId="165" fontId="43" fillId="4" borderId="2" xfId="13" quotePrefix="1" applyFont="1" applyFill="1" applyBorder="1" applyAlignment="1">
      <alignment horizontal="center" vertical="center"/>
    </xf>
    <xf numFmtId="0" fontId="46" fillId="4" borderId="2" xfId="1" applyFont="1" applyFill="1" applyBorder="1" applyAlignment="1">
      <alignment horizontal="center" vertical="center" wrapText="1"/>
    </xf>
    <xf numFmtId="49" fontId="32" fillId="4" borderId="2" xfId="1" quotePrefix="1" applyNumberFormat="1" applyFont="1" applyFill="1" applyBorder="1" applyAlignment="1">
      <alignment horizontal="center" vertical="center" wrapText="1"/>
    </xf>
    <xf numFmtId="165" fontId="45" fillId="5" borderId="2" xfId="13" applyFont="1" applyFill="1" applyBorder="1" applyAlignment="1">
      <alignment vertical="center"/>
    </xf>
    <xf numFmtId="165" fontId="38" fillId="5" borderId="2" xfId="13" applyFont="1" applyFill="1" applyBorder="1" applyAlignment="1">
      <alignment vertical="center"/>
    </xf>
    <xf numFmtId="165" fontId="36" fillId="0" borderId="0" xfId="13" applyFont="1" applyAlignment="1">
      <alignment vertical="center"/>
    </xf>
    <xf numFmtId="0" fontId="35" fillId="8" borderId="2" xfId="1" applyFont="1" applyFill="1" applyBorder="1" applyAlignment="1">
      <alignment horizontal="center" vertical="center" wrapText="1"/>
    </xf>
    <xf numFmtId="165" fontId="38" fillId="8" borderId="2" xfId="13" applyFont="1" applyFill="1" applyBorder="1" applyAlignment="1">
      <alignment vertical="center"/>
    </xf>
    <xf numFmtId="165" fontId="32" fillId="8" borderId="2" xfId="13" applyFont="1" applyFill="1" applyBorder="1" applyAlignment="1">
      <alignment vertical="center"/>
    </xf>
    <xf numFmtId="0" fontId="49" fillId="4" borderId="2" xfId="1" applyFont="1" applyFill="1" applyBorder="1" applyAlignment="1">
      <alignment horizontal="center" vertical="center" wrapText="1"/>
    </xf>
    <xf numFmtId="165" fontId="32" fillId="4" borderId="2" xfId="13" quotePrefix="1" applyFont="1" applyFill="1" applyBorder="1" applyAlignment="1">
      <alignment horizontal="center" vertical="center"/>
    </xf>
    <xf numFmtId="165" fontId="39" fillId="4" borderId="2" xfId="13" applyFont="1" applyFill="1" applyBorder="1" applyAlignment="1">
      <alignment vertical="center"/>
    </xf>
    <xf numFmtId="165" fontId="38" fillId="4" borderId="2" xfId="13" applyFont="1" applyFill="1" applyBorder="1" applyAlignment="1">
      <alignment vertical="center"/>
    </xf>
    <xf numFmtId="0" fontId="35" fillId="4" borderId="2" xfId="1" applyFont="1" applyFill="1" applyBorder="1" applyAlignment="1">
      <alignment horizontal="center" vertical="center" wrapText="1"/>
    </xf>
    <xf numFmtId="49" fontId="36" fillId="0" borderId="45" xfId="1" applyNumberFormat="1" applyFont="1" applyBorder="1" applyAlignment="1">
      <alignment horizontal="center" vertical="center" wrapText="1"/>
    </xf>
    <xf numFmtId="165" fontId="32" fillId="0" borderId="2" xfId="13" applyFont="1" applyBorder="1" applyAlignment="1">
      <alignment vertical="center" wrapText="1"/>
    </xf>
    <xf numFmtId="165" fontId="43" fillId="14" borderId="2" xfId="13" applyFont="1" applyFill="1" applyBorder="1" applyAlignment="1">
      <alignment vertical="center"/>
    </xf>
    <xf numFmtId="43" fontId="36" fillId="0" borderId="0" xfId="1" applyNumberFormat="1" applyFont="1" applyAlignment="1">
      <alignment vertical="center"/>
    </xf>
    <xf numFmtId="4" fontId="6" fillId="0" borderId="5" xfId="16">
      <alignment horizontal="right" vertical="top" shrinkToFit="1"/>
    </xf>
    <xf numFmtId="49" fontId="36" fillId="12" borderId="45" xfId="1" applyNumberFormat="1" applyFont="1" applyFill="1" applyBorder="1" applyAlignment="1">
      <alignment horizontal="center" vertical="center" wrapText="1"/>
    </xf>
    <xf numFmtId="49" fontId="36" fillId="8" borderId="45" xfId="1" applyNumberFormat="1" applyFont="1" applyFill="1" applyBorder="1" applyAlignment="1">
      <alignment horizontal="center" vertical="center" wrapText="1"/>
    </xf>
    <xf numFmtId="165" fontId="44" fillId="7" borderId="2" xfId="13" applyFont="1" applyFill="1" applyBorder="1" applyAlignment="1">
      <alignment vertical="center"/>
    </xf>
    <xf numFmtId="165" fontId="43" fillId="8" borderId="2" xfId="13" applyFont="1" applyFill="1" applyBorder="1" applyAlignment="1">
      <alignment vertical="center"/>
    </xf>
    <xf numFmtId="0" fontId="46" fillId="0" borderId="2" xfId="1" applyFont="1" applyBorder="1" applyAlignment="1">
      <alignment horizontal="center" vertical="center" wrapText="1"/>
    </xf>
    <xf numFmtId="49" fontId="32" fillId="0" borderId="2" xfId="1" quotePrefix="1" applyNumberFormat="1" applyFont="1" applyBorder="1" applyAlignment="1">
      <alignment horizontal="center" vertical="center" wrapText="1"/>
    </xf>
    <xf numFmtId="165" fontId="45" fillId="0" borderId="2" xfId="13" applyFont="1" applyBorder="1" applyAlignment="1">
      <alignment vertical="center"/>
    </xf>
    <xf numFmtId="0" fontId="46" fillId="5" borderId="2" xfId="1" applyFont="1" applyFill="1" applyBorder="1" applyAlignment="1">
      <alignment horizontal="center" vertical="center" wrapText="1"/>
    </xf>
    <xf numFmtId="165" fontId="39" fillId="8" borderId="2" xfId="13" applyFont="1" applyFill="1" applyBorder="1" applyAlignment="1">
      <alignment vertical="center"/>
    </xf>
    <xf numFmtId="0" fontId="36" fillId="15" borderId="2" xfId="1" applyFont="1" applyFill="1" applyBorder="1" applyAlignment="1">
      <alignment vertical="center" wrapText="1"/>
    </xf>
    <xf numFmtId="0" fontId="36" fillId="0" borderId="45" xfId="1" applyFont="1" applyBorder="1" applyAlignment="1">
      <alignment vertical="center" wrapText="1"/>
    </xf>
    <xf numFmtId="165" fontId="32" fillId="0" borderId="46" xfId="13" applyFont="1" applyBorder="1" applyAlignment="1">
      <alignment vertical="center" wrapText="1"/>
    </xf>
    <xf numFmtId="49" fontId="32" fillId="8" borderId="9" xfId="1" quotePrefix="1" applyNumberFormat="1" applyFont="1" applyFill="1" applyBorder="1" applyAlignment="1">
      <alignment horizontal="center" vertical="center" wrapText="1"/>
    </xf>
    <xf numFmtId="0" fontId="46" fillId="7" borderId="2" xfId="1" applyFont="1" applyFill="1" applyBorder="1" applyAlignment="1">
      <alignment horizontal="center" vertical="center" wrapText="1"/>
    </xf>
    <xf numFmtId="49" fontId="32" fillId="8" borderId="8" xfId="1" quotePrefix="1" applyNumberFormat="1" applyFont="1" applyFill="1" applyBorder="1" applyAlignment="1">
      <alignment horizontal="center" vertical="center" wrapText="1"/>
    </xf>
    <xf numFmtId="49" fontId="32" fillId="4" borderId="2" xfId="1" applyNumberFormat="1" applyFont="1" applyFill="1" applyBorder="1" applyAlignment="1">
      <alignment horizontal="center" vertical="center" wrapText="1"/>
    </xf>
    <xf numFmtId="165" fontId="38" fillId="4" borderId="2" xfId="13" applyFont="1" applyFill="1" applyBorder="1" applyAlignment="1">
      <alignment horizontal="center" vertical="center" wrapText="1"/>
    </xf>
    <xf numFmtId="165" fontId="43" fillId="4" borderId="2" xfId="13" applyFont="1" applyFill="1" applyBorder="1" applyAlignment="1">
      <alignment vertical="center"/>
    </xf>
    <xf numFmtId="165" fontId="38" fillId="3" borderId="2" xfId="13" applyFont="1" applyFill="1" applyBorder="1" applyAlignment="1">
      <alignment vertical="center"/>
    </xf>
    <xf numFmtId="0" fontId="36" fillId="0" borderId="45" xfId="1" applyFont="1" applyBorder="1" applyAlignment="1">
      <alignment horizontal="left" vertical="center" wrapText="1"/>
    </xf>
    <xf numFmtId="165" fontId="32" fillId="0" borderId="46" xfId="13" applyFont="1" applyBorder="1" applyAlignment="1">
      <alignment vertical="center"/>
    </xf>
    <xf numFmtId="165" fontId="45" fillId="4" borderId="46" xfId="13" applyFont="1" applyFill="1" applyBorder="1" applyAlignment="1">
      <alignment vertical="center"/>
    </xf>
    <xf numFmtId="0" fontId="36" fillId="0" borderId="0" xfId="1" applyFont="1" applyAlignment="1">
      <alignment horizontal="center" vertical="center"/>
    </xf>
    <xf numFmtId="4" fontId="50" fillId="0" borderId="48" xfId="1" applyNumberFormat="1" applyFont="1" applyBorder="1" applyAlignment="1">
      <alignment horizontal="right" vertical="center" shrinkToFit="1"/>
    </xf>
    <xf numFmtId="0" fontId="36" fillId="0" borderId="2" xfId="1" applyFont="1" applyBorder="1" applyAlignment="1">
      <alignment vertical="center"/>
    </xf>
    <xf numFmtId="0" fontId="32" fillId="0" borderId="2" xfId="1" applyFont="1" applyBorder="1" applyAlignment="1">
      <alignment vertical="center"/>
    </xf>
    <xf numFmtId="0" fontId="36" fillId="9" borderId="2" xfId="1" applyFont="1" applyFill="1" applyBorder="1" applyAlignment="1">
      <alignment horizontal="center" vertical="center"/>
    </xf>
    <xf numFmtId="0" fontId="32" fillId="9" borderId="2" xfId="1" applyFont="1" applyFill="1" applyBorder="1" applyAlignment="1">
      <alignment horizontal="center" vertical="center"/>
    </xf>
    <xf numFmtId="165" fontId="38" fillId="9" borderId="2" xfId="13" applyFont="1" applyFill="1" applyBorder="1" applyAlignment="1">
      <alignment horizontal="center" vertical="center"/>
    </xf>
    <xf numFmtId="0" fontId="42" fillId="11" borderId="2" xfId="1" applyFont="1" applyFill="1" applyBorder="1" applyAlignment="1">
      <alignment horizontal="center" vertical="center" wrapText="1"/>
    </xf>
    <xf numFmtId="165" fontId="45" fillId="5" borderId="2" xfId="13" applyFont="1" applyFill="1" applyBorder="1" applyAlignment="1">
      <alignment horizontal="center" vertical="center"/>
    </xf>
    <xf numFmtId="0" fontId="36" fillId="0" borderId="0" xfId="1" quotePrefix="1" applyFont="1" applyAlignment="1">
      <alignment horizontal="center" vertical="center" wrapText="1"/>
    </xf>
    <xf numFmtId="0" fontId="46" fillId="0" borderId="0" xfId="1" applyFont="1" applyAlignment="1">
      <alignment horizontal="center" vertical="center" wrapText="1"/>
    </xf>
    <xf numFmtId="0" fontId="32" fillId="0" borderId="0" xfId="1" applyFont="1" applyAlignment="1">
      <alignment horizontal="center" vertical="center" wrapText="1"/>
    </xf>
    <xf numFmtId="165" fontId="38" fillId="0" borderId="0" xfId="13" applyFont="1" applyAlignment="1">
      <alignment horizontal="center" vertical="center"/>
    </xf>
    <xf numFmtId="166" fontId="38" fillId="0" borderId="0" xfId="13" applyNumberFormat="1" applyFont="1" applyAlignment="1">
      <alignment vertical="center"/>
    </xf>
    <xf numFmtId="165" fontId="38" fillId="0" borderId="0" xfId="1" applyNumberFormat="1" applyFont="1" applyAlignment="1">
      <alignment vertical="center"/>
    </xf>
    <xf numFmtId="165" fontId="51" fillId="0" borderId="0" xfId="1" applyNumberFormat="1" applyFont="1" applyAlignment="1">
      <alignment vertical="center"/>
    </xf>
    <xf numFmtId="0" fontId="32" fillId="0" borderId="2" xfId="1" applyFont="1" applyBorder="1" applyAlignment="1">
      <alignment horizontal="center" vertical="center"/>
    </xf>
    <xf numFmtId="165" fontId="38" fillId="0" borderId="46" xfId="13" applyFont="1" applyBorder="1" applyAlignment="1">
      <alignment horizontal="center" vertical="center"/>
    </xf>
    <xf numFmtId="165" fontId="38" fillId="0" borderId="2" xfId="13" applyFont="1" applyBorder="1" applyAlignment="1">
      <alignment horizontal="center" vertical="center"/>
    </xf>
    <xf numFmtId="164" fontId="10" fillId="10" borderId="47" xfId="4" applyFont="1" applyFill="1" applyBorder="1" applyAlignment="1">
      <alignment horizontal="right" vertical="center" shrinkToFit="1"/>
    </xf>
    <xf numFmtId="165" fontId="32" fillId="0" borderId="45" xfId="13" applyFont="1" applyBorder="1" applyAlignment="1">
      <alignment horizontal="center" vertical="center"/>
    </xf>
    <xf numFmtId="4" fontId="39" fillId="0" borderId="2" xfId="15" applyFont="1" applyFill="1" applyBorder="1" applyAlignment="1">
      <alignment horizontal="right" vertical="center" shrinkToFit="1"/>
    </xf>
    <xf numFmtId="0" fontId="32" fillId="0" borderId="0" xfId="1" applyFont="1" applyAlignment="1">
      <alignment horizontal="center" vertical="center"/>
    </xf>
    <xf numFmtId="4" fontId="53" fillId="0" borderId="49" xfId="17" applyNumberFormat="1" applyFont="1" applyBorder="1" applyAlignment="1">
      <alignment horizontal="right" vertical="top" shrinkToFit="1"/>
    </xf>
    <xf numFmtId="170" fontId="38" fillId="0" borderId="2" xfId="1" applyNumberFormat="1" applyFont="1" applyBorder="1" applyAlignment="1">
      <alignment vertical="center"/>
    </xf>
    <xf numFmtId="165" fontId="39" fillId="0" borderId="2" xfId="1" applyNumberFormat="1" applyFont="1" applyBorder="1" applyAlignment="1">
      <alignment vertical="center"/>
    </xf>
    <xf numFmtId="0" fontId="32" fillId="0" borderId="0" xfId="1" applyFont="1" applyAlignment="1">
      <alignment horizontal="right" vertical="center"/>
    </xf>
    <xf numFmtId="4" fontId="54" fillId="16" borderId="2" xfId="18" applyNumberFormat="1" applyFont="1" applyFill="1" applyBorder="1" applyAlignment="1">
      <alignment horizontal="right" vertical="center" wrapText="1" shrinkToFit="1"/>
    </xf>
    <xf numFmtId="165" fontId="36" fillId="0" borderId="2" xfId="1" applyNumberFormat="1" applyFont="1" applyBorder="1" applyAlignment="1">
      <alignment horizontal="center" vertical="center" wrapText="1"/>
    </xf>
    <xf numFmtId="4" fontId="36" fillId="0" borderId="0" xfId="1" applyNumberFormat="1" applyFont="1" applyAlignment="1">
      <alignment vertical="center"/>
    </xf>
    <xf numFmtId="165" fontId="38" fillId="0" borderId="46" xfId="13" applyFont="1" applyBorder="1" applyAlignment="1">
      <alignment vertical="center" wrapText="1"/>
    </xf>
    <xf numFmtId="0" fontId="42" fillId="7" borderId="2" xfId="1" applyFont="1" applyFill="1" applyBorder="1" applyAlignment="1">
      <alignment horizontal="center" vertical="center" wrapText="1"/>
    </xf>
    <xf numFmtId="0" fontId="32" fillId="7" borderId="9" xfId="1" applyFont="1" applyFill="1" applyBorder="1" applyAlignment="1">
      <alignment horizontal="center" vertical="center" wrapText="1"/>
    </xf>
    <xf numFmtId="165" fontId="38" fillId="7" borderId="46" xfId="13" applyFont="1" applyFill="1" applyBorder="1" applyAlignment="1">
      <alignment vertical="center" wrapText="1"/>
    </xf>
    <xf numFmtId="0" fontId="32" fillId="7" borderId="2" xfId="1" applyFont="1" applyFill="1" applyBorder="1" applyAlignment="1">
      <alignment horizontal="center" vertical="center" wrapText="1"/>
    </xf>
    <xf numFmtId="0" fontId="35" fillId="0" borderId="0" xfId="1" applyFont="1"/>
    <xf numFmtId="43" fontId="33" fillId="17" borderId="0" xfId="1" applyNumberFormat="1" applyFont="1" applyFill="1"/>
    <xf numFmtId="0" fontId="35" fillId="0" borderId="2" xfId="1" applyFont="1" applyBorder="1" applyAlignment="1">
      <alignment horizontal="center" vertical="center" wrapText="1"/>
    </xf>
    <xf numFmtId="0" fontId="35" fillId="0" borderId="2" xfId="1" applyFont="1" applyBorder="1" applyAlignment="1">
      <alignment vertical="center" wrapText="1"/>
    </xf>
    <xf numFmtId="49" fontId="2" fillId="0" borderId="2" xfId="1" applyNumberFormat="1" applyFont="1" applyBorder="1" applyAlignment="1">
      <alignment horizontal="center" vertical="center" wrapText="1"/>
    </xf>
    <xf numFmtId="165" fontId="2" fillId="0" borderId="2" xfId="13" applyFont="1" applyBorder="1" applyAlignment="1">
      <alignment vertical="center"/>
    </xf>
    <xf numFmtId="165" fontId="47" fillId="0" borderId="2" xfId="13" applyFont="1" applyBorder="1" applyAlignment="1">
      <alignment horizontal="center" vertical="center" wrapText="1"/>
    </xf>
    <xf numFmtId="165" fontId="47" fillId="0" borderId="2" xfId="13" applyFont="1" applyBorder="1" applyAlignment="1">
      <alignment vertical="center"/>
    </xf>
    <xf numFmtId="165" fontId="47" fillId="3" borderId="2" xfId="13" applyFont="1" applyFill="1" applyBorder="1" applyAlignment="1">
      <alignment vertical="center"/>
    </xf>
    <xf numFmtId="0" fontId="35" fillId="0" borderId="2" xfId="1" applyFont="1" applyBorder="1" applyAlignment="1">
      <alignment vertical="center"/>
    </xf>
    <xf numFmtId="171" fontId="2" fillId="0" borderId="2" xfId="13" applyNumberFormat="1" applyFont="1" applyBorder="1" applyAlignment="1">
      <alignment vertical="center"/>
    </xf>
    <xf numFmtId="0" fontId="35" fillId="0" borderId="0" xfId="1" applyFont="1" applyAlignment="1">
      <alignment horizontal="center"/>
    </xf>
    <xf numFmtId="4" fontId="48" fillId="0" borderId="0" xfId="1" applyNumberFormat="1" applyFont="1"/>
    <xf numFmtId="0" fontId="2" fillId="0" borderId="2" xfId="1" applyFont="1" applyBorder="1" applyAlignment="1">
      <alignment horizontal="center" vertical="center"/>
    </xf>
    <xf numFmtId="0" fontId="35" fillId="8" borderId="2" xfId="1" applyFont="1" applyFill="1" applyBorder="1" applyAlignment="1">
      <alignment vertical="center" wrapText="1"/>
    </xf>
    <xf numFmtId="165" fontId="47" fillId="8" borderId="2" xfId="13" applyFont="1" applyFill="1" applyBorder="1" applyAlignment="1">
      <alignment vertical="center"/>
    </xf>
    <xf numFmtId="165" fontId="47" fillId="7" borderId="2" xfId="13" applyFont="1" applyFill="1" applyBorder="1" applyAlignment="1">
      <alignment vertical="center"/>
    </xf>
    <xf numFmtId="165" fontId="55" fillId="0" borderId="2" xfId="13" applyFont="1" applyBorder="1" applyAlignment="1">
      <alignment vertical="center"/>
    </xf>
    <xf numFmtId="0" fontId="2" fillId="9" borderId="2" xfId="1" applyFont="1" applyFill="1" applyBorder="1" applyAlignment="1">
      <alignment horizontal="center" vertical="center" wrapText="1"/>
    </xf>
    <xf numFmtId="165" fontId="2" fillId="9" borderId="2" xfId="13" applyFont="1" applyFill="1" applyBorder="1" applyAlignment="1">
      <alignment vertical="center"/>
    </xf>
    <xf numFmtId="0" fontId="48" fillId="0" borderId="0" xfId="1" applyFont="1" applyAlignment="1">
      <alignment vertical="center"/>
    </xf>
    <xf numFmtId="0" fontId="47" fillId="0" borderId="0" xfId="1" applyFont="1" applyAlignment="1">
      <alignment vertical="center"/>
    </xf>
    <xf numFmtId="165" fontId="47" fillId="0" borderId="0" xfId="1" applyNumberFormat="1" applyFont="1" applyAlignment="1">
      <alignment vertical="center"/>
    </xf>
    <xf numFmtId="171" fontId="2" fillId="0" borderId="2" xfId="13" applyNumberFormat="1" applyFont="1" applyBorder="1" applyAlignment="1">
      <alignment horizontal="center" vertical="center"/>
    </xf>
    <xf numFmtId="171" fontId="25" fillId="0" borderId="2" xfId="13" applyNumberFormat="1" applyFont="1" applyBorder="1" applyAlignment="1">
      <alignment vertical="center"/>
    </xf>
    <xf numFmtId="171" fontId="33" fillId="0" borderId="2" xfId="13" applyNumberFormat="1" applyFont="1" applyBorder="1" applyAlignment="1">
      <alignment vertical="center"/>
    </xf>
    <xf numFmtId="171" fontId="33" fillId="0" borderId="2" xfId="13" applyNumberFormat="1" applyFont="1" applyBorder="1" applyAlignment="1">
      <alignment horizontal="center" vertical="center"/>
    </xf>
    <xf numFmtId="0" fontId="56" fillId="0" borderId="0" xfId="1" applyFont="1" applyAlignment="1">
      <alignment vertical="center"/>
    </xf>
    <xf numFmtId="171" fontId="25" fillId="9" borderId="2" xfId="13" applyNumberFormat="1" applyFont="1" applyFill="1" applyBorder="1" applyAlignment="1">
      <alignment vertical="center"/>
    </xf>
    <xf numFmtId="172" fontId="33" fillId="4" borderId="0" xfId="1" applyNumberFormat="1" applyFont="1" applyFill="1" applyAlignment="1">
      <alignment vertical="center"/>
    </xf>
    <xf numFmtId="0" fontId="2" fillId="3" borderId="2" xfId="1" applyFont="1" applyFill="1" applyBorder="1" applyAlignment="1">
      <alignment horizontal="center" vertical="center"/>
    </xf>
    <xf numFmtId="171" fontId="25" fillId="3" borderId="2" xfId="13" applyNumberFormat="1" applyFont="1" applyFill="1" applyBorder="1" applyAlignment="1">
      <alignment vertical="center"/>
    </xf>
    <xf numFmtId="171" fontId="25" fillId="3" borderId="2" xfId="1" applyNumberFormat="1" applyFont="1" applyFill="1" applyBorder="1" applyAlignment="1">
      <alignment vertical="center"/>
    </xf>
    <xf numFmtId="173" fontId="37" fillId="0" borderId="0" xfId="1" applyNumberFormat="1" applyFont="1" applyAlignment="1">
      <alignment vertical="center"/>
    </xf>
    <xf numFmtId="0" fontId="57" fillId="0" borderId="0" xfId="1" applyFont="1"/>
    <xf numFmtId="0" fontId="18" fillId="0" borderId="0" xfId="1" applyFont="1"/>
    <xf numFmtId="0" fontId="58" fillId="0" borderId="0" xfId="1" applyFont="1"/>
    <xf numFmtId="0" fontId="9" fillId="0" borderId="11"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20" fillId="0" borderId="19" xfId="1" applyFont="1" applyBorder="1" applyAlignment="1">
      <alignment vertical="center" wrapText="1"/>
    </xf>
    <xf numFmtId="0" fontId="20" fillId="0" borderId="13" xfId="1" applyFont="1" applyBorder="1" applyAlignment="1">
      <alignment vertical="center" wrapText="1"/>
    </xf>
    <xf numFmtId="0" fontId="18" fillId="0" borderId="10" xfId="1" applyFont="1" applyBorder="1" applyAlignment="1">
      <alignment horizontal="center"/>
    </xf>
    <xf numFmtId="0" fontId="18" fillId="18" borderId="11" xfId="1" applyFont="1" applyFill="1" applyBorder="1" applyAlignment="1">
      <alignment horizontal="center"/>
    </xf>
    <xf numFmtId="0" fontId="18" fillId="18" borderId="22" xfId="1" applyFont="1" applyFill="1" applyBorder="1" applyAlignment="1">
      <alignment horizontal="center"/>
    </xf>
    <xf numFmtId="0" fontId="18" fillId="0" borderId="24" xfId="1" applyFont="1" applyBorder="1" applyAlignment="1">
      <alignment horizontal="center"/>
    </xf>
    <xf numFmtId="0" fontId="18" fillId="0" borderId="22" xfId="1" applyFont="1" applyBorder="1" applyAlignment="1">
      <alignment horizontal="center"/>
    </xf>
    <xf numFmtId="0" fontId="18" fillId="0" borderId="13" xfId="1" applyFont="1" applyBorder="1" applyAlignment="1">
      <alignment horizontal="center"/>
    </xf>
    <xf numFmtId="0" fontId="18" fillId="4" borderId="14" xfId="1" applyFont="1" applyFill="1" applyBorder="1"/>
    <xf numFmtId="43" fontId="24" fillId="4" borderId="25" xfId="1" applyNumberFormat="1" applyFont="1" applyFill="1" applyBorder="1"/>
    <xf numFmtId="43" fontId="24" fillId="4" borderId="26" xfId="1" applyNumberFormat="1" applyFont="1" applyFill="1" applyBorder="1"/>
    <xf numFmtId="165" fontId="21" fillId="18" borderId="44" xfId="13" applyFont="1" applyFill="1" applyBorder="1" applyAlignment="1">
      <alignment horizontal="center"/>
    </xf>
    <xf numFmtId="165" fontId="21" fillId="18" borderId="42" xfId="13" applyFont="1" applyFill="1" applyBorder="1" applyAlignment="1">
      <alignment horizontal="center"/>
    </xf>
    <xf numFmtId="165" fontId="21" fillId="18" borderId="23" xfId="13" applyFont="1" applyFill="1" applyBorder="1" applyAlignment="1">
      <alignment horizontal="center"/>
    </xf>
    <xf numFmtId="165" fontId="21" fillId="0" borderId="26" xfId="13" applyFont="1" applyBorder="1" applyAlignment="1">
      <alignment horizontal="center"/>
    </xf>
    <xf numFmtId="165" fontId="21" fillId="0" borderId="28" xfId="13" applyFont="1" applyBorder="1" applyAlignment="1">
      <alignment horizontal="center"/>
    </xf>
    <xf numFmtId="165" fontId="21" fillId="0" borderId="27" xfId="13" applyFont="1" applyBorder="1" applyAlignment="1">
      <alignment horizontal="center"/>
    </xf>
    <xf numFmtId="165" fontId="60" fillId="0" borderId="28" xfId="13" applyFont="1" applyBorder="1" applyAlignment="1">
      <alignment horizontal="center" wrapText="1" shrinkToFit="1"/>
    </xf>
    <xf numFmtId="165" fontId="60" fillId="0" borderId="25" xfId="13" applyFont="1" applyBorder="1" applyAlignment="1">
      <alignment horizontal="center" wrapText="1" shrinkToFit="1"/>
    </xf>
    <xf numFmtId="165" fontId="60" fillId="0" borderId="26" xfId="13" applyFont="1" applyBorder="1" applyAlignment="1">
      <alignment horizontal="center" wrapText="1" shrinkToFit="1"/>
    </xf>
    <xf numFmtId="165" fontId="21" fillId="0" borderId="16" xfId="13" applyFont="1" applyBorder="1" applyAlignment="1">
      <alignment horizontal="center"/>
    </xf>
    <xf numFmtId="165" fontId="21" fillId="0" borderId="10" xfId="13" applyFont="1" applyBorder="1" applyAlignment="1">
      <alignment horizontal="center"/>
    </xf>
    <xf numFmtId="171" fontId="12" fillId="0" borderId="0" xfId="13" applyNumberFormat="1" applyFont="1"/>
    <xf numFmtId="43" fontId="24" fillId="0" borderId="32" xfId="1" applyNumberFormat="1" applyFont="1" applyBorder="1"/>
    <xf numFmtId="43" fontId="24" fillId="0" borderId="30" xfId="1" applyNumberFormat="1" applyFont="1" applyBorder="1"/>
    <xf numFmtId="165" fontId="21" fillId="18" borderId="31" xfId="13" applyFont="1" applyFill="1" applyBorder="1" applyAlignment="1">
      <alignment horizontal="center"/>
    </xf>
    <xf numFmtId="165" fontId="21" fillId="18" borderId="32" xfId="13" applyFont="1" applyFill="1" applyBorder="1" applyAlignment="1">
      <alignment horizontal="center"/>
    </xf>
    <xf numFmtId="165" fontId="60" fillId="0" borderId="31" xfId="13" applyFont="1" applyBorder="1" applyAlignment="1">
      <alignment horizontal="center" wrapText="1" shrinkToFit="1"/>
    </xf>
    <xf numFmtId="165" fontId="60" fillId="0" borderId="32" xfId="13" applyFont="1" applyBorder="1" applyAlignment="1">
      <alignment horizontal="center" wrapText="1" shrinkToFit="1"/>
    </xf>
    <xf numFmtId="165" fontId="60" fillId="0" borderId="30" xfId="13" applyFont="1" applyBorder="1" applyAlignment="1">
      <alignment horizontal="center" wrapText="1" shrinkToFit="1"/>
    </xf>
    <xf numFmtId="0" fontId="18" fillId="4" borderId="24" xfId="1" applyFont="1" applyFill="1" applyBorder="1"/>
    <xf numFmtId="43" fontId="24" fillId="4" borderId="32" xfId="1" applyNumberFormat="1" applyFont="1" applyFill="1" applyBorder="1"/>
    <xf numFmtId="43" fontId="24" fillId="4" borderId="30" xfId="1" applyNumberFormat="1" applyFont="1" applyFill="1" applyBorder="1"/>
    <xf numFmtId="0" fontId="18" fillId="4" borderId="31" xfId="1" applyFont="1" applyFill="1" applyBorder="1"/>
    <xf numFmtId="43" fontId="24" fillId="0" borderId="34" xfId="1" applyNumberFormat="1" applyFont="1" applyBorder="1"/>
    <xf numFmtId="43" fontId="24" fillId="0" borderId="35" xfId="1" applyNumberFormat="1" applyFont="1" applyBorder="1"/>
    <xf numFmtId="165" fontId="21" fillId="0" borderId="41" xfId="13" applyFont="1" applyBorder="1" applyAlignment="1">
      <alignment horizontal="center"/>
    </xf>
    <xf numFmtId="165" fontId="60" fillId="0" borderId="37" xfId="13" applyFont="1" applyBorder="1" applyAlignment="1">
      <alignment horizontal="center" wrapText="1" shrinkToFit="1"/>
    </xf>
    <xf numFmtId="165" fontId="60" fillId="0" borderId="34" xfId="13" applyFont="1" applyBorder="1" applyAlignment="1">
      <alignment horizontal="center" wrapText="1" shrinkToFit="1"/>
    </xf>
    <xf numFmtId="165" fontId="60" fillId="0" borderId="35" xfId="13" applyFont="1" applyBorder="1" applyAlignment="1">
      <alignment horizontal="center" wrapText="1" shrinkToFit="1"/>
    </xf>
    <xf numFmtId="165" fontId="20" fillId="18" borderId="22" xfId="13" applyFont="1" applyFill="1" applyBorder="1"/>
    <xf numFmtId="165" fontId="20" fillId="18" borderId="13" xfId="13" applyFont="1" applyFill="1" applyBorder="1"/>
    <xf numFmtId="0" fontId="18" fillId="0" borderId="15" xfId="1" applyFont="1" applyBorder="1"/>
    <xf numFmtId="165" fontId="20" fillId="18" borderId="23" xfId="13" applyFont="1" applyFill="1" applyBorder="1"/>
    <xf numFmtId="165" fontId="20" fillId="18" borderId="43" xfId="13" applyFont="1" applyFill="1" applyBorder="1"/>
    <xf numFmtId="166" fontId="20" fillId="0" borderId="42" xfId="13" applyNumberFormat="1" applyFont="1" applyBorder="1"/>
    <xf numFmtId="166" fontId="20" fillId="0" borderId="24" xfId="13" applyNumberFormat="1" applyFont="1" applyBorder="1"/>
    <xf numFmtId="165" fontId="59" fillId="0" borderId="28" xfId="13" applyFont="1" applyBorder="1"/>
    <xf numFmtId="165" fontId="59" fillId="0" borderId="25" xfId="13" applyFont="1" applyBorder="1"/>
    <xf numFmtId="165" fontId="59" fillId="0" borderId="27" xfId="13" applyFont="1" applyBorder="1"/>
    <xf numFmtId="166" fontId="20" fillId="0" borderId="0" xfId="13" applyNumberFormat="1" applyFont="1"/>
    <xf numFmtId="165" fontId="60" fillId="0" borderId="33" xfId="13" applyFont="1" applyBorder="1" applyAlignment="1">
      <alignment horizontal="center" wrapText="1" shrinkToFit="1"/>
    </xf>
    <xf numFmtId="165" fontId="20" fillId="18" borderId="10" xfId="13" applyFont="1" applyFill="1" applyBorder="1"/>
    <xf numFmtId="165" fontId="20" fillId="18" borderId="16" xfId="13" applyFont="1" applyFill="1" applyBorder="1"/>
    <xf numFmtId="0" fontId="23" fillId="18" borderId="10" xfId="1" applyFont="1" applyFill="1" applyBorder="1"/>
    <xf numFmtId="0" fontId="23" fillId="18" borderId="16" xfId="1" applyFont="1" applyFill="1" applyBorder="1"/>
    <xf numFmtId="165" fontId="21" fillId="0" borderId="14" xfId="13" applyFont="1" applyBorder="1" applyAlignment="1">
      <alignment horizontal="center"/>
    </xf>
    <xf numFmtId="0" fontId="23" fillId="0" borderId="24" xfId="1" applyFont="1" applyBorder="1"/>
    <xf numFmtId="0" fontId="23" fillId="0" borderId="15" xfId="1" applyFont="1" applyBorder="1"/>
    <xf numFmtId="0" fontId="23" fillId="18" borderId="21" xfId="1" applyFont="1" applyFill="1" applyBorder="1"/>
    <xf numFmtId="0" fontId="23" fillId="18" borderId="19" xfId="1" applyFont="1" applyFill="1" applyBorder="1"/>
    <xf numFmtId="165" fontId="21" fillId="0" borderId="18" xfId="13" applyFont="1" applyBorder="1" applyAlignment="1">
      <alignment horizontal="center"/>
    </xf>
    <xf numFmtId="165" fontId="20" fillId="18" borderId="21" xfId="13" applyFont="1" applyFill="1" applyBorder="1" applyAlignment="1">
      <alignment horizontal="center"/>
    </xf>
    <xf numFmtId="165" fontId="20" fillId="18" borderId="19" xfId="13" applyFont="1" applyFill="1" applyBorder="1" applyAlignment="1">
      <alignment horizontal="center"/>
    </xf>
    <xf numFmtId="43" fontId="24" fillId="0" borderId="0" xfId="1" applyNumberFormat="1" applyFont="1"/>
    <xf numFmtId="0" fontId="9" fillId="0" borderId="0" xfId="1" applyFont="1"/>
    <xf numFmtId="0" fontId="9" fillId="0" borderId="2" xfId="1" applyFont="1" applyBorder="1"/>
    <xf numFmtId="43" fontId="27" fillId="0" borderId="2" xfId="1" applyNumberFormat="1" applyFont="1" applyBorder="1"/>
    <xf numFmtId="0" fontId="9" fillId="4" borderId="2" xfId="1" applyFont="1" applyFill="1" applyBorder="1"/>
    <xf numFmtId="43" fontId="27" fillId="4" borderId="2" xfId="1" applyNumberFormat="1" applyFont="1" applyFill="1" applyBorder="1"/>
    <xf numFmtId="165" fontId="27" fillId="0" borderId="2" xfId="1" applyNumberFormat="1" applyFont="1" applyBorder="1"/>
    <xf numFmtId="0" fontId="9" fillId="0" borderId="2" xfId="1" applyFont="1" applyBorder="1" applyAlignment="1">
      <alignment horizontal="center" vertical="center"/>
    </xf>
    <xf numFmtId="165" fontId="61" fillId="0" borderId="0" xfId="1" applyNumberFormat="1" applyFont="1" applyAlignment="1">
      <alignment vertical="center" wrapText="1"/>
    </xf>
    <xf numFmtId="165" fontId="62" fillId="0" borderId="0" xfId="13" applyFont="1" applyAlignment="1">
      <alignment vertical="center" wrapText="1"/>
    </xf>
    <xf numFmtId="0" fontId="61" fillId="0" borderId="0" xfId="1" applyFont="1" applyAlignment="1">
      <alignment vertical="center" wrapText="1"/>
    </xf>
    <xf numFmtId="165" fontId="31" fillId="0" borderId="0" xfId="1" applyNumberFormat="1" applyFont="1" applyAlignment="1">
      <alignment horizontal="center"/>
    </xf>
    <xf numFmtId="165" fontId="31" fillId="4" borderId="0" xfId="1" applyNumberFormat="1" applyFont="1" applyFill="1"/>
    <xf numFmtId="0" fontId="63" fillId="0" borderId="0" xfId="1" applyFont="1"/>
    <xf numFmtId="0" fontId="2" fillId="0" borderId="0" xfId="1" applyFont="1"/>
    <xf numFmtId="0" fontId="64" fillId="0" borderId="24" xfId="1" applyFont="1" applyBorder="1" applyAlignment="1">
      <alignment horizontal="center" vertical="center" wrapText="1"/>
    </xf>
    <xf numFmtId="0" fontId="64" fillId="0" borderId="22" xfId="1" applyFont="1" applyBorder="1" applyAlignment="1">
      <alignment horizontal="center" vertical="center" wrapText="1"/>
    </xf>
    <xf numFmtId="0" fontId="64" fillId="11" borderId="22" xfId="1" applyFont="1" applyFill="1" applyBorder="1" applyAlignment="1">
      <alignment horizontal="center" vertical="center" wrapText="1"/>
    </xf>
    <xf numFmtId="0" fontId="64" fillId="5" borderId="22" xfId="1" applyFont="1" applyFill="1" applyBorder="1" applyAlignment="1">
      <alignment horizontal="center" vertical="center" wrapText="1"/>
    </xf>
    <xf numFmtId="0" fontId="64" fillId="4" borderId="14" xfId="1" applyFont="1" applyFill="1" applyBorder="1"/>
    <xf numFmtId="0" fontId="64" fillId="0" borderId="31" xfId="1" applyFont="1" applyBorder="1"/>
    <xf numFmtId="0" fontId="64" fillId="0" borderId="24" xfId="1" applyFont="1" applyBorder="1"/>
    <xf numFmtId="0" fontId="64" fillId="4" borderId="24" xfId="1" applyFont="1" applyFill="1" applyBorder="1"/>
    <xf numFmtId="0" fontId="64" fillId="4" borderId="31" xfId="1" applyFont="1" applyFill="1" applyBorder="1"/>
    <xf numFmtId="0" fontId="64" fillId="0" borderId="18" xfId="1" applyFont="1" applyBorder="1"/>
    <xf numFmtId="165" fontId="64" fillId="0" borderId="21" xfId="13" applyFont="1" applyBorder="1"/>
    <xf numFmtId="165" fontId="64" fillId="0" borderId="19" xfId="13" applyFont="1" applyBorder="1"/>
    <xf numFmtId="165" fontId="64" fillId="0" borderId="18" xfId="13" applyFont="1" applyBorder="1"/>
    <xf numFmtId="165" fontId="64" fillId="0" borderId="0" xfId="13" applyFont="1"/>
    <xf numFmtId="165" fontId="64" fillId="0" borderId="15" xfId="13" applyFont="1" applyBorder="1"/>
    <xf numFmtId="165" fontId="64" fillId="0" borderId="22" xfId="13" applyFont="1" applyBorder="1"/>
    <xf numFmtId="165" fontId="64" fillId="11" borderId="22" xfId="13" applyFont="1" applyFill="1" applyBorder="1"/>
    <xf numFmtId="165" fontId="64" fillId="11" borderId="19" xfId="13" applyFont="1" applyFill="1" applyBorder="1"/>
    <xf numFmtId="165" fontId="64" fillId="11" borderId="21" xfId="13" applyFont="1" applyFill="1" applyBorder="1"/>
    <xf numFmtId="165" fontId="64" fillId="11" borderId="20" xfId="13" applyFont="1" applyFill="1" applyBorder="1"/>
    <xf numFmtId="165" fontId="64" fillId="11" borderId="18" xfId="13" applyFont="1" applyFill="1" applyBorder="1"/>
    <xf numFmtId="0" fontId="64" fillId="0" borderId="15" xfId="1" applyFont="1" applyBorder="1"/>
    <xf numFmtId="0" fontId="64" fillId="0" borderId="0" xfId="1" applyFont="1"/>
    <xf numFmtId="166" fontId="64" fillId="0" borderId="26" xfId="13" applyNumberFormat="1" applyFont="1" applyBorder="1"/>
    <xf numFmtId="166" fontId="64" fillId="0" borderId="25" xfId="13" applyNumberFormat="1" applyFont="1" applyBorder="1"/>
    <xf numFmtId="166" fontId="64" fillId="0" borderId="23" xfId="13" applyNumberFormat="1" applyFont="1" applyBorder="1"/>
    <xf numFmtId="166" fontId="64" fillId="0" borderId="43" xfId="13" applyNumberFormat="1" applyFont="1" applyBorder="1"/>
    <xf numFmtId="166" fontId="64" fillId="0" borderId="0" xfId="13" applyNumberFormat="1" applyFont="1"/>
    <xf numFmtId="166" fontId="64" fillId="0" borderId="10" xfId="13" applyNumberFormat="1" applyFont="1" applyBorder="1"/>
    <xf numFmtId="166" fontId="64" fillId="11" borderId="23" xfId="13" applyNumberFormat="1" applyFont="1" applyFill="1" applyBorder="1"/>
    <xf numFmtId="166" fontId="64" fillId="11" borderId="0" xfId="13" applyNumberFormat="1" applyFont="1" applyFill="1"/>
    <xf numFmtId="166" fontId="64" fillId="11" borderId="15" xfId="13" applyNumberFormat="1" applyFont="1" applyFill="1" applyBorder="1"/>
    <xf numFmtId="0" fontId="64" fillId="11" borderId="15" xfId="1" applyFont="1" applyFill="1" applyBorder="1"/>
    <xf numFmtId="0" fontId="64" fillId="0" borderId="32" xfId="1" applyFont="1" applyBorder="1"/>
    <xf numFmtId="165" fontId="64" fillId="0" borderId="10" xfId="13" applyFont="1" applyBorder="1"/>
    <xf numFmtId="165" fontId="64" fillId="0" borderId="16" xfId="13" applyFont="1" applyBorder="1"/>
    <xf numFmtId="165" fontId="64" fillId="11" borderId="10" xfId="13" applyFont="1" applyFill="1" applyBorder="1"/>
    <xf numFmtId="165" fontId="64" fillId="11" borderId="16" xfId="13" applyFont="1" applyFill="1" applyBorder="1"/>
    <xf numFmtId="165" fontId="64" fillId="0" borderId="14" xfId="13" applyFont="1" applyBorder="1"/>
    <xf numFmtId="0" fontId="64" fillId="0" borderId="10" xfId="1" applyFont="1" applyBorder="1"/>
    <xf numFmtId="0" fontId="64" fillId="0" borderId="16" xfId="1" applyFont="1" applyBorder="1"/>
    <xf numFmtId="0" fontId="65" fillId="0" borderId="16" xfId="1" applyFont="1" applyBorder="1"/>
    <xf numFmtId="0" fontId="65" fillId="0" borderId="10" xfId="1" applyFont="1" applyBorder="1"/>
    <xf numFmtId="0" fontId="65" fillId="11" borderId="10" xfId="1" applyFont="1" applyFill="1" applyBorder="1"/>
    <xf numFmtId="0" fontId="65" fillId="11" borderId="16" xfId="1" applyFont="1" applyFill="1" applyBorder="1"/>
    <xf numFmtId="0" fontId="64" fillId="11" borderId="10" xfId="1" applyFont="1" applyFill="1" applyBorder="1"/>
    <xf numFmtId="0" fontId="64" fillId="0" borderId="21" xfId="1" applyFont="1" applyBorder="1"/>
    <xf numFmtId="0" fontId="64" fillId="0" borderId="19" xfId="1" applyFont="1" applyBorder="1"/>
    <xf numFmtId="0" fontId="65" fillId="0" borderId="19" xfId="1" applyFont="1" applyBorder="1"/>
    <xf numFmtId="0" fontId="65" fillId="0" borderId="21" xfId="1" applyFont="1" applyBorder="1"/>
    <xf numFmtId="0" fontId="65" fillId="11" borderId="21" xfId="1" applyFont="1" applyFill="1" applyBorder="1"/>
    <xf numFmtId="0" fontId="65" fillId="11" borderId="19" xfId="1" applyFont="1" applyFill="1" applyBorder="1"/>
    <xf numFmtId="165" fontId="64" fillId="0" borderId="22" xfId="13" applyFont="1" applyBorder="1" applyAlignment="1">
      <alignment horizontal="center"/>
    </xf>
    <xf numFmtId="165" fontId="64" fillId="0" borderId="12" xfId="13" applyFont="1" applyBorder="1" applyAlignment="1">
      <alignment horizontal="center"/>
    </xf>
    <xf numFmtId="165" fontId="64" fillId="11" borderId="22" xfId="13" applyFont="1" applyFill="1" applyBorder="1" applyAlignment="1">
      <alignment horizontal="center"/>
    </xf>
    <xf numFmtId="165" fontId="64" fillId="11" borderId="12" xfId="13" applyFont="1" applyFill="1" applyBorder="1" applyAlignment="1">
      <alignment horizontal="center"/>
    </xf>
    <xf numFmtId="0" fontId="2" fillId="0" borderId="2" xfId="1" applyFont="1" applyBorder="1"/>
    <xf numFmtId="0" fontId="2" fillId="4" borderId="2" xfId="1" applyFont="1" applyFill="1" applyBorder="1"/>
    <xf numFmtId="0" fontId="2" fillId="0" borderId="30" xfId="1" applyFont="1" applyBorder="1"/>
    <xf numFmtId="0" fontId="2" fillId="0" borderId="30" xfId="1" applyFont="1" applyBorder="1" applyAlignment="1">
      <alignment wrapText="1"/>
    </xf>
    <xf numFmtId="0" fontId="14" fillId="0" borderId="30" xfId="1" applyFont="1" applyBorder="1"/>
    <xf numFmtId="0" fontId="2" fillId="0" borderId="38" xfId="1" applyFont="1" applyBorder="1"/>
    <xf numFmtId="0" fontId="2" fillId="0" borderId="38" xfId="1" applyFont="1" applyBorder="1" applyAlignment="1">
      <alignment wrapText="1"/>
    </xf>
    <xf numFmtId="0" fontId="14" fillId="0" borderId="38" xfId="1" applyFont="1" applyBorder="1"/>
    <xf numFmtId="0" fontId="2" fillId="0" borderId="38" xfId="1" applyFont="1" applyBorder="1" applyAlignment="1">
      <alignment horizontal="left"/>
    </xf>
    <xf numFmtId="0" fontId="2" fillId="0" borderId="38" xfId="1" applyFont="1" applyBorder="1" applyAlignment="1">
      <alignment horizontal="left" wrapText="1"/>
    </xf>
    <xf numFmtId="0" fontId="2" fillId="0" borderId="30" xfId="1" applyFont="1" applyBorder="1" applyAlignment="1">
      <alignment horizontal="left"/>
    </xf>
    <xf numFmtId="0" fontId="2" fillId="0" borderId="43" xfId="1" applyFont="1" applyBorder="1" applyAlignment="1">
      <alignment wrapText="1"/>
    </xf>
    <xf numFmtId="0" fontId="14" fillId="0" borderId="43" xfId="1" applyFont="1" applyBorder="1"/>
    <xf numFmtId="0" fontId="2" fillId="0" borderId="43" xfId="1" applyFont="1" applyBorder="1"/>
    <xf numFmtId="0" fontId="66" fillId="0" borderId="0" xfId="1" applyFont="1" applyAlignment="1">
      <alignment horizontal="center" wrapText="1"/>
    </xf>
    <xf numFmtId="167" fontId="29" fillId="0" borderId="2" xfId="1" applyNumberFormat="1" applyFont="1" applyBorder="1" applyAlignment="1">
      <alignment horizontal="center" vertical="center" wrapText="1"/>
    </xf>
    <xf numFmtId="0" fontId="32" fillId="0" borderId="0" xfId="1" applyFont="1" applyAlignment="1">
      <alignment horizontal="right"/>
    </xf>
    <xf numFmtId="0" fontId="67" fillId="0" borderId="0" xfId="1" applyFont="1"/>
    <xf numFmtId="168" fontId="67" fillId="3" borderId="0" xfId="1" applyNumberFormat="1" applyFont="1" applyFill="1"/>
    <xf numFmtId="168" fontId="67" fillId="0" borderId="0" xfId="1" applyNumberFormat="1" applyFont="1"/>
    <xf numFmtId="0" fontId="59" fillId="0" borderId="0" xfId="1" applyFont="1"/>
    <xf numFmtId="0" fontId="31" fillId="0" borderId="0" xfId="1" applyFont="1" applyAlignment="1">
      <alignment vertical="center"/>
    </xf>
    <xf numFmtId="0" fontId="59" fillId="0" borderId="0" xfId="1" applyFont="1" applyAlignment="1">
      <alignment wrapText="1"/>
    </xf>
    <xf numFmtId="0" fontId="59" fillId="0" borderId="0" xfId="1" applyFont="1" applyAlignment="1">
      <alignment horizontal="left"/>
    </xf>
    <xf numFmtId="0" fontId="59" fillId="0" borderId="0" xfId="1" applyFont="1" applyAlignment="1">
      <alignment horizontal="center" wrapText="1"/>
    </xf>
    <xf numFmtId="0" fontId="59" fillId="0" borderId="0" xfId="1" applyFont="1" applyAlignment="1">
      <alignment vertical="center"/>
    </xf>
    <xf numFmtId="0" fontId="59" fillId="0" borderId="2" xfId="1" applyFont="1" applyBorder="1" applyAlignment="1">
      <alignment horizontal="center" vertical="center" wrapText="1"/>
    </xf>
    <xf numFmtId="0" fontId="59" fillId="0" borderId="2" xfId="1" applyFont="1" applyBorder="1" applyAlignment="1">
      <alignment horizontal="center" vertical="center"/>
    </xf>
    <xf numFmtId="0" fontId="59" fillId="0" borderId="46" xfId="1" applyFont="1" applyBorder="1" applyAlignment="1">
      <alignment horizontal="center" vertical="center"/>
    </xf>
    <xf numFmtId="0" fontId="59" fillId="0" borderId="45" xfId="1" applyFont="1" applyBorder="1" applyAlignment="1">
      <alignment horizontal="center" vertical="center"/>
    </xf>
    <xf numFmtId="0" fontId="59" fillId="0" borderId="0" xfId="1" applyFont="1" applyAlignment="1">
      <alignment horizontal="center" vertical="center"/>
    </xf>
    <xf numFmtId="165" fontId="60" fillId="0" borderId="2" xfId="13" applyFont="1" applyBorder="1" applyAlignment="1">
      <alignment horizontal="right" wrapText="1" shrinkToFit="1"/>
    </xf>
    <xf numFmtId="4" fontId="70" fillId="0" borderId="49" xfId="19" applyNumberFormat="1" applyFont="1" applyBorder="1" applyAlignment="1">
      <alignment horizontal="right" shrinkToFit="1"/>
    </xf>
    <xf numFmtId="4" fontId="70" fillId="0" borderId="58" xfId="19" applyNumberFormat="1" applyFont="1" applyBorder="1" applyAlignment="1">
      <alignment horizontal="right" shrinkToFit="1"/>
    </xf>
    <xf numFmtId="4" fontId="59" fillId="0" borderId="2" xfId="20" applyFont="1" applyBorder="1" applyAlignment="1" applyProtection="1">
      <alignment horizontal="right" shrinkToFit="1"/>
      <protection locked="0"/>
    </xf>
    <xf numFmtId="4" fontId="70" fillId="0" borderId="2" xfId="19" applyNumberFormat="1" applyFont="1" applyBorder="1" applyAlignment="1">
      <alignment horizontal="right" shrinkToFit="1"/>
    </xf>
    <xf numFmtId="4" fontId="70" fillId="0" borderId="59" xfId="19" applyNumberFormat="1" applyFont="1" applyBorder="1" applyAlignment="1">
      <alignment horizontal="right" shrinkToFit="1"/>
    </xf>
    <xf numFmtId="49" fontId="59" fillId="0" borderId="0" xfId="1" applyNumberFormat="1" applyFont="1" applyAlignment="1">
      <alignment horizontal="left" vertical="top" wrapText="1"/>
    </xf>
    <xf numFmtId="4" fontId="59" fillId="0" borderId="0" xfId="21" applyNumberFormat="1" applyFont="1" applyAlignment="1">
      <alignment horizontal="right" shrinkToFit="1"/>
    </xf>
    <xf numFmtId="0" fontId="59" fillId="0" borderId="2" xfId="1" applyFont="1" applyBorder="1"/>
    <xf numFmtId="165" fontId="60" fillId="0" borderId="2" xfId="13" applyFont="1" applyBorder="1"/>
    <xf numFmtId="4" fontId="59" fillId="0" borderId="0" xfId="22" applyNumberFormat="1" applyFont="1" applyAlignment="1">
      <alignment vertical="top"/>
    </xf>
    <xf numFmtId="165" fontId="59" fillId="0" borderId="2" xfId="13" applyFont="1" applyBorder="1"/>
    <xf numFmtId="165" fontId="60" fillId="0" borderId="46" xfId="13" applyFont="1" applyBorder="1"/>
    <xf numFmtId="165" fontId="60" fillId="0" borderId="45" xfId="13" applyFont="1" applyBorder="1"/>
    <xf numFmtId="165" fontId="60" fillId="0" borderId="0" xfId="13" applyFont="1"/>
    <xf numFmtId="165" fontId="59" fillId="0" borderId="0" xfId="13" applyFont="1"/>
    <xf numFmtId="0" fontId="59" fillId="0" borderId="2" xfId="1" applyFont="1" applyBorder="1" applyAlignment="1">
      <alignment wrapText="1"/>
    </xf>
    <xf numFmtId="165" fontId="60" fillId="0" borderId="2" xfId="13" applyFont="1" applyBorder="1" applyAlignment="1">
      <alignment wrapText="1"/>
    </xf>
    <xf numFmtId="4" fontId="59" fillId="0" borderId="0" xfId="21" applyNumberFormat="1" applyFont="1" applyAlignment="1">
      <alignment horizontal="right" wrapText="1" shrinkToFit="1"/>
    </xf>
    <xf numFmtId="0" fontId="59" fillId="0" borderId="0" xfId="1" quotePrefix="1" applyFont="1" applyAlignment="1">
      <alignment horizontal="center"/>
    </xf>
    <xf numFmtId="165" fontId="60" fillId="0" borderId="0" xfId="1" applyNumberFormat="1" applyFont="1"/>
    <xf numFmtId="0" fontId="59" fillId="0" borderId="0" xfId="1" applyFont="1" applyAlignment="1">
      <alignment horizontal="center"/>
    </xf>
    <xf numFmtId="4" fontId="60" fillId="0" borderId="0" xfId="1" applyNumberFormat="1" applyFont="1"/>
    <xf numFmtId="0" fontId="71" fillId="0" borderId="0" xfId="1" applyFont="1" applyAlignment="1">
      <alignment horizontal="left"/>
    </xf>
    <xf numFmtId="0" fontId="31" fillId="0" borderId="0" xfId="1" applyFont="1"/>
    <xf numFmtId="0" fontId="9" fillId="0" borderId="0" xfId="1" applyFont="1" applyAlignment="1">
      <alignment horizontal="center" wrapText="1"/>
    </xf>
    <xf numFmtId="0" fontId="72" fillId="0" borderId="0" xfId="1" applyFont="1"/>
    <xf numFmtId="0" fontId="65" fillId="0" borderId="0" xfId="1" applyFont="1"/>
    <xf numFmtId="0" fontId="73" fillId="0" borderId="0" xfId="1" applyFont="1"/>
    <xf numFmtId="0" fontId="2" fillId="5" borderId="2" xfId="1" applyFont="1" applyFill="1" applyBorder="1" applyAlignment="1">
      <alignment horizontal="center" vertical="center"/>
    </xf>
    <xf numFmtId="0" fontId="2" fillId="11" borderId="2" xfId="1" applyFont="1" applyFill="1" applyBorder="1" applyAlignment="1">
      <alignment horizontal="center" vertical="center"/>
    </xf>
    <xf numFmtId="165" fontId="30" fillId="5" borderId="2" xfId="13" applyFont="1" applyFill="1" applyBorder="1"/>
    <xf numFmtId="165" fontId="30" fillId="0" borderId="2" xfId="13" applyFont="1" applyBorder="1" applyAlignment="1">
      <alignment horizontal="right" wrapText="1" shrinkToFit="1"/>
    </xf>
    <xf numFmtId="165" fontId="53" fillId="0" borderId="2" xfId="13" applyFont="1" applyBorder="1" applyAlignment="1">
      <alignment horizontal="right" shrinkToFit="1"/>
    </xf>
    <xf numFmtId="165" fontId="30" fillId="5" borderId="2" xfId="13" applyFont="1" applyFill="1" applyBorder="1" applyAlignment="1">
      <alignment horizontal="right" wrapText="1" shrinkToFit="1"/>
    </xf>
    <xf numFmtId="165" fontId="29" fillId="5" borderId="2" xfId="13" applyFont="1" applyFill="1" applyBorder="1"/>
    <xf numFmtId="165" fontId="60" fillId="0" borderId="2" xfId="13" applyFont="1" applyBorder="1" applyAlignment="1">
      <alignment horizontal="center"/>
    </xf>
    <xf numFmtId="165" fontId="59" fillId="0" borderId="2" xfId="13" applyFont="1" applyBorder="1" applyAlignment="1">
      <alignment horizontal="center"/>
    </xf>
    <xf numFmtId="165" fontId="29" fillId="0" borderId="2" xfId="13" applyFont="1" applyBorder="1" applyAlignment="1">
      <alignment horizontal="right" shrinkToFit="1"/>
    </xf>
    <xf numFmtId="0" fontId="32" fillId="0" borderId="0" xfId="1" applyFont="1"/>
    <xf numFmtId="0" fontId="32" fillId="0" borderId="2" xfId="1" applyFont="1" applyBorder="1"/>
    <xf numFmtId="165" fontId="30" fillId="0" borderId="2" xfId="13" applyFont="1" applyBorder="1"/>
    <xf numFmtId="0" fontId="32" fillId="0" borderId="8" xfId="1" applyFont="1" applyBorder="1"/>
    <xf numFmtId="165" fontId="29" fillId="0" borderId="46" xfId="13" applyFont="1" applyBorder="1"/>
    <xf numFmtId="165" fontId="29" fillId="5" borderId="46" xfId="13" applyFont="1" applyFill="1" applyBorder="1"/>
    <xf numFmtId="165" fontId="29" fillId="0" borderId="2" xfId="13" applyFont="1" applyBorder="1" applyAlignment="1">
      <alignment horizontal="right" wrapText="1" shrinkToFit="1"/>
    </xf>
    <xf numFmtId="165" fontId="29" fillId="11" borderId="46" xfId="13" applyFont="1" applyFill="1" applyBorder="1"/>
    <xf numFmtId="165" fontId="29" fillId="0" borderId="0" xfId="13" applyFont="1"/>
    <xf numFmtId="165" fontId="29" fillId="0" borderId="0" xfId="13" applyFont="1" applyAlignment="1">
      <alignment horizontal="right" wrapText="1" shrinkToFit="1"/>
    </xf>
    <xf numFmtId="165" fontId="30" fillId="0" borderId="0" xfId="13" applyFont="1"/>
    <xf numFmtId="165" fontId="30" fillId="0" borderId="0" xfId="1" applyNumberFormat="1" applyFont="1"/>
    <xf numFmtId="0" fontId="29" fillId="0" borderId="0" xfId="1" applyFont="1"/>
    <xf numFmtId="4" fontId="59" fillId="0" borderId="0" xfId="1" applyNumberFormat="1" applyFont="1" applyAlignment="1">
      <alignment horizontal="right" vertical="center" shrinkToFit="1"/>
    </xf>
    <xf numFmtId="165" fontId="60" fillId="0" borderId="0" xfId="1" applyNumberFormat="1" applyFont="1" applyAlignment="1">
      <alignment horizontal="center" vertical="center"/>
    </xf>
    <xf numFmtId="165" fontId="60" fillId="0" borderId="0" xfId="1" applyNumberFormat="1" applyFont="1" applyAlignment="1">
      <alignment vertical="center"/>
    </xf>
    <xf numFmtId="0" fontId="74" fillId="0" borderId="0" xfId="1" applyFont="1" applyAlignment="1">
      <alignment horizontal="left"/>
    </xf>
    <xf numFmtId="0" fontId="75" fillId="0" borderId="0" xfId="1" applyFont="1"/>
    <xf numFmtId="0" fontId="29" fillId="0" borderId="0" xfId="1" applyFont="1" applyAlignment="1">
      <alignment horizontal="center" wrapText="1"/>
    </xf>
    <xf numFmtId="0" fontId="29" fillId="0" borderId="2" xfId="1" applyFont="1" applyBorder="1" applyAlignment="1">
      <alignment horizontal="center" vertical="center"/>
    </xf>
    <xf numFmtId="0" fontId="29" fillId="0" borderId="9" xfId="1" applyFont="1" applyBorder="1" applyAlignment="1">
      <alignment horizontal="center" vertical="center"/>
    </xf>
    <xf numFmtId="0" fontId="29" fillId="0" borderId="46" xfId="1" applyFont="1" applyBorder="1" applyAlignment="1">
      <alignment horizontal="center" vertical="center"/>
    </xf>
    <xf numFmtId="0" fontId="29" fillId="0" borderId="0" xfId="1" applyFont="1" applyAlignment="1">
      <alignment horizontal="center" vertical="center"/>
    </xf>
    <xf numFmtId="165" fontId="29" fillId="0" borderId="45" xfId="13" applyFont="1" applyBorder="1" applyAlignment="1">
      <alignment horizontal="right" shrinkToFit="1"/>
    </xf>
    <xf numFmtId="165" fontId="76" fillId="0" borderId="46" xfId="13" applyFont="1" applyBorder="1" applyAlignment="1">
      <alignment horizontal="center"/>
    </xf>
    <xf numFmtId="165" fontId="30" fillId="0" borderId="2" xfId="13" applyFont="1" applyBorder="1" applyAlignment="1">
      <alignment horizontal="center" wrapText="1" shrinkToFit="1"/>
    </xf>
    <xf numFmtId="165" fontId="29" fillId="0" borderId="2" xfId="13" applyFont="1" applyBorder="1" applyAlignment="1">
      <alignment horizontal="center" shrinkToFit="1"/>
    </xf>
    <xf numFmtId="165" fontId="30" fillId="0" borderId="46" xfId="13" applyFont="1" applyBorder="1" applyAlignment="1">
      <alignment horizontal="right" wrapText="1" shrinkToFit="1"/>
    </xf>
    <xf numFmtId="0" fontId="29" fillId="0" borderId="2" xfId="1" applyFont="1" applyBorder="1"/>
    <xf numFmtId="165" fontId="29" fillId="4" borderId="2" xfId="13" applyFont="1" applyFill="1" applyBorder="1" applyAlignment="1">
      <alignment horizontal="right" shrinkToFit="1"/>
    </xf>
    <xf numFmtId="165" fontId="29" fillId="0" borderId="45" xfId="13" applyFont="1" applyBorder="1" applyAlignment="1">
      <alignment horizontal="right" wrapText="1" shrinkToFit="1"/>
    </xf>
    <xf numFmtId="165" fontId="59" fillId="0" borderId="46" xfId="13" applyFont="1" applyBorder="1" applyAlignment="1">
      <alignment horizontal="center"/>
    </xf>
    <xf numFmtId="165" fontId="29" fillId="0" borderId="2" xfId="13" applyFont="1" applyBorder="1" applyAlignment="1">
      <alignment horizontal="center" wrapText="1" shrinkToFit="1"/>
    </xf>
    <xf numFmtId="165" fontId="29" fillId="0" borderId="46" xfId="13" applyFont="1" applyBorder="1" applyAlignment="1">
      <alignment horizontal="right" wrapText="1" shrinkToFit="1"/>
    </xf>
    <xf numFmtId="165" fontId="29" fillId="0" borderId="2" xfId="13" applyFont="1" applyBorder="1"/>
    <xf numFmtId="165" fontId="29" fillId="0" borderId="30" xfId="13" applyFont="1" applyBorder="1"/>
    <xf numFmtId="165" fontId="29" fillId="0" borderId="46" xfId="13" applyFont="1" applyBorder="1" applyAlignment="1">
      <alignment horizontal="center"/>
    </xf>
    <xf numFmtId="165" fontId="30" fillId="0" borderId="46" xfId="13" applyFont="1" applyBorder="1"/>
    <xf numFmtId="165" fontId="72" fillId="0" borderId="2" xfId="13" applyFont="1" applyBorder="1"/>
    <xf numFmtId="165" fontId="72" fillId="0" borderId="2" xfId="13" applyFont="1" applyBorder="1" applyAlignment="1">
      <alignment horizontal="center"/>
    </xf>
    <xf numFmtId="165" fontId="72" fillId="0" borderId="0" xfId="13" applyFont="1"/>
    <xf numFmtId="165" fontId="72" fillId="0" borderId="0" xfId="13" applyFont="1" applyAlignment="1">
      <alignment horizontal="center"/>
    </xf>
    <xf numFmtId="0" fontId="29" fillId="0" borderId="2" xfId="1" applyFont="1" applyBorder="1" applyAlignment="1">
      <alignment wrapText="1"/>
    </xf>
    <xf numFmtId="0" fontId="29" fillId="4" borderId="2" xfId="1" applyFont="1" applyFill="1" applyBorder="1" applyAlignment="1">
      <alignment wrapText="1"/>
    </xf>
    <xf numFmtId="165" fontId="30" fillId="0" borderId="2" xfId="13" applyFont="1" applyBorder="1" applyAlignment="1">
      <alignment horizontal="center"/>
    </xf>
    <xf numFmtId="165" fontId="29" fillId="0" borderId="2" xfId="13" applyFont="1" applyBorder="1" applyAlignment="1">
      <alignment horizontal="center"/>
    </xf>
    <xf numFmtId="0" fontId="29" fillId="0" borderId="0" xfId="1" applyFont="1" applyAlignment="1">
      <alignment wrapText="1"/>
    </xf>
    <xf numFmtId="4" fontId="77" fillId="0" borderId="49" xfId="17" applyNumberFormat="1" applyFont="1" applyBorder="1" applyAlignment="1">
      <alignment horizontal="right" vertical="top" shrinkToFit="1"/>
    </xf>
    <xf numFmtId="4" fontId="79" fillId="0" borderId="49" xfId="23" applyNumberFormat="1" applyFont="1" applyBorder="1" applyAlignment="1">
      <alignment horizontal="right" shrinkToFit="1"/>
    </xf>
    <xf numFmtId="165" fontId="11" fillId="2" borderId="5" xfId="13" applyFont="1" applyFill="1" applyBorder="1" applyAlignment="1">
      <alignment horizontal="right" vertical="top" shrinkToFit="1"/>
    </xf>
    <xf numFmtId="165" fontId="29" fillId="0" borderId="0" xfId="1" applyNumberFormat="1" applyFont="1"/>
    <xf numFmtId="0" fontId="81" fillId="0" borderId="0" xfId="1" applyFont="1"/>
    <xf numFmtId="165" fontId="53" fillId="0" borderId="0" xfId="1" applyNumberFormat="1" applyFont="1"/>
    <xf numFmtId="4" fontId="77" fillId="0" borderId="0" xfId="23" applyNumberFormat="1" applyFont="1" applyAlignment="1">
      <alignment horizontal="right" vertical="top" shrinkToFit="1"/>
    </xf>
    <xf numFmtId="165" fontId="60" fillId="0" borderId="0" xfId="13" applyFont="1" applyAlignment="1">
      <alignment horizontal="right" vertical="top" shrinkToFit="1"/>
    </xf>
    <xf numFmtId="0" fontId="59" fillId="0" borderId="0" xfId="0" applyFont="1" applyAlignment="1">
      <alignment vertical="center"/>
    </xf>
    <xf numFmtId="0" fontId="59" fillId="0" borderId="11" xfId="0" applyFont="1" applyBorder="1" applyAlignment="1">
      <alignment vertical="center"/>
    </xf>
    <xf numFmtId="0" fontId="58" fillId="0" borderId="12" xfId="0" applyFont="1" applyBorder="1"/>
    <xf numFmtId="0" fontId="58" fillId="0" borderId="13" xfId="0" applyFont="1" applyBorder="1"/>
    <xf numFmtId="0" fontId="59" fillId="0" borderId="22" xfId="0" applyFont="1" applyBorder="1" applyAlignment="1">
      <alignment horizontal="center" vertical="center" wrapText="1"/>
    </xf>
    <xf numFmtId="0" fontId="59" fillId="11" borderId="22"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59" fillId="3" borderId="22" xfId="0" quotePrefix="1" applyFont="1" applyFill="1" applyBorder="1" applyAlignment="1">
      <alignment horizontal="center" vertical="center" wrapText="1"/>
    </xf>
    <xf numFmtId="0" fontId="59" fillId="9" borderId="22" xfId="0" applyFont="1" applyFill="1" applyBorder="1" applyAlignment="1">
      <alignment horizontal="center" vertical="center" wrapText="1"/>
    </xf>
    <xf numFmtId="0" fontId="59" fillId="9" borderId="12" xfId="0" quotePrefix="1" applyFont="1" applyFill="1" applyBorder="1" applyAlignment="1">
      <alignment horizontal="center" vertical="center" wrapText="1"/>
    </xf>
    <xf numFmtId="0" fontId="59" fillId="5" borderId="22" xfId="0" applyFont="1" applyFill="1" applyBorder="1" applyAlignment="1">
      <alignment horizontal="center" vertical="center" wrapText="1"/>
    </xf>
    <xf numFmtId="0" fontId="59" fillId="3" borderId="11" xfId="0" quotePrefix="1" applyFont="1" applyFill="1" applyBorder="1" applyAlignment="1">
      <alignment horizontal="center" vertical="center" wrapText="1"/>
    </xf>
    <xf numFmtId="0" fontId="59" fillId="11" borderId="10" xfId="0" applyFont="1" applyFill="1" applyBorder="1" applyAlignment="1">
      <alignment horizontal="center" vertical="center" wrapText="1"/>
    </xf>
    <xf numFmtId="3" fontId="59" fillId="3" borderId="10" xfId="0" applyNumberFormat="1" applyFont="1" applyFill="1" applyBorder="1" applyAlignment="1">
      <alignment horizontal="center" vertical="center" wrapText="1"/>
    </xf>
    <xf numFmtId="3" fontId="59" fillId="3" borderId="22" xfId="0" applyNumberFormat="1" applyFont="1" applyFill="1" applyBorder="1" applyAlignment="1">
      <alignment horizontal="center" vertical="center" wrapText="1"/>
    </xf>
    <xf numFmtId="3" fontId="59" fillId="4" borderId="12" xfId="0" applyNumberFormat="1" applyFont="1" applyFill="1" applyBorder="1" applyAlignment="1">
      <alignment horizontal="center" vertical="center" wrapText="1"/>
    </xf>
    <xf numFmtId="3" fontId="59" fillId="4" borderId="13" xfId="0" applyNumberFormat="1" applyFont="1" applyFill="1" applyBorder="1" applyAlignment="1">
      <alignment horizontal="center" vertical="center" wrapText="1"/>
    </xf>
    <xf numFmtId="3" fontId="59" fillId="3" borderId="14" xfId="0" applyNumberFormat="1" applyFont="1" applyFill="1" applyBorder="1" applyAlignment="1">
      <alignment horizontal="center" vertical="center" wrapText="1"/>
    </xf>
    <xf numFmtId="3" fontId="59" fillId="4" borderId="22" xfId="0" applyNumberFormat="1" applyFont="1" applyFill="1" applyBorder="1" applyAlignment="1">
      <alignment horizontal="center" vertical="center" wrapText="1"/>
    </xf>
    <xf numFmtId="3" fontId="59" fillId="3" borderId="11" xfId="0" applyNumberFormat="1" applyFont="1" applyFill="1" applyBorder="1" applyAlignment="1">
      <alignment horizontal="center" vertical="center" wrapText="1"/>
    </xf>
    <xf numFmtId="0" fontId="59" fillId="4" borderId="22" xfId="0" applyFont="1" applyFill="1" applyBorder="1" applyAlignment="1">
      <alignment horizontal="center" vertical="center" wrapText="1"/>
    </xf>
    <xf numFmtId="3" fontId="59" fillId="9" borderId="22" xfId="0" applyNumberFormat="1" applyFont="1" applyFill="1" applyBorder="1" applyAlignment="1">
      <alignment horizontal="center" vertical="center" wrapText="1"/>
    </xf>
    <xf numFmtId="0" fontId="58" fillId="4" borderId="22" xfId="0" applyFont="1" applyFill="1" applyBorder="1" applyAlignment="1">
      <alignment horizontal="center" vertical="center" wrapText="1"/>
    </xf>
    <xf numFmtId="0" fontId="58" fillId="3" borderId="13" xfId="0" applyFont="1" applyFill="1" applyBorder="1" applyAlignment="1">
      <alignment horizontal="center" vertical="center" wrapText="1"/>
    </xf>
    <xf numFmtId="0" fontId="58" fillId="3" borderId="22" xfId="0" applyFont="1" applyFill="1" applyBorder="1" applyAlignment="1">
      <alignment horizontal="center" vertical="center" wrapText="1"/>
    </xf>
    <xf numFmtId="0" fontId="58" fillId="4" borderId="13" xfId="0" applyFont="1" applyFill="1" applyBorder="1" applyAlignment="1">
      <alignment horizontal="center" vertical="center" wrapText="1"/>
    </xf>
    <xf numFmtId="0" fontId="58" fillId="4" borderId="12" xfId="0" applyFont="1" applyFill="1" applyBorder="1" applyAlignment="1">
      <alignment horizontal="center" vertical="center" wrapText="1"/>
    </xf>
    <xf numFmtId="0" fontId="59" fillId="4" borderId="12" xfId="0" applyFont="1" applyFill="1" applyBorder="1" applyAlignment="1">
      <alignment horizontal="center" vertical="center" wrapText="1"/>
    </xf>
    <xf numFmtId="3" fontId="59" fillId="3" borderId="12" xfId="0" applyNumberFormat="1" applyFont="1" applyFill="1" applyBorder="1" applyAlignment="1">
      <alignment horizontal="center" vertical="center" wrapText="1"/>
    </xf>
    <xf numFmtId="0" fontId="59" fillId="4" borderId="13" xfId="0" applyFont="1" applyFill="1" applyBorder="1" applyAlignment="1">
      <alignment horizontal="center" vertical="center" wrapText="1"/>
    </xf>
    <xf numFmtId="0" fontId="59" fillId="0" borderId="10" xfId="0" applyFont="1" applyBorder="1" applyAlignment="1">
      <alignment horizontal="center" vertical="center"/>
    </xf>
    <xf numFmtId="0" fontId="59" fillId="0" borderId="16" xfId="0" applyFont="1" applyBorder="1" applyAlignment="1">
      <alignment horizontal="center" vertical="center"/>
    </xf>
    <xf numFmtId="0" fontId="59" fillId="0" borderId="22" xfId="0" applyFont="1" applyBorder="1" applyAlignment="1">
      <alignment horizontal="center" vertical="center"/>
    </xf>
    <xf numFmtId="0" fontId="59" fillId="0" borderId="14" xfId="0" applyFont="1" applyBorder="1" applyAlignment="1">
      <alignment horizontal="center" vertical="center"/>
    </xf>
    <xf numFmtId="0" fontId="59" fillId="0" borderId="17" xfId="0" applyFont="1" applyBorder="1" applyAlignment="1">
      <alignment horizontal="center" vertical="center"/>
    </xf>
    <xf numFmtId="0" fontId="59" fillId="4" borderId="10" xfId="0" applyFont="1" applyFill="1" applyBorder="1" applyAlignment="1">
      <alignment horizontal="center" vertical="center" wrapText="1"/>
    </xf>
    <xf numFmtId="0" fontId="59" fillId="9" borderId="16" xfId="0" applyFont="1" applyFill="1" applyBorder="1" applyAlignment="1">
      <alignment horizontal="center" vertical="center"/>
    </xf>
    <xf numFmtId="0" fontId="59" fillId="4" borderId="10" xfId="0" applyFont="1" applyFill="1" applyBorder="1" applyAlignment="1">
      <alignment horizontal="center" vertical="center"/>
    </xf>
    <xf numFmtId="0" fontId="59" fillId="3" borderId="16" xfId="0" applyFont="1" applyFill="1" applyBorder="1" applyAlignment="1">
      <alignment horizontal="center" vertical="center"/>
    </xf>
    <xf numFmtId="0" fontId="59" fillId="3" borderId="14" xfId="0" applyFont="1" applyFill="1" applyBorder="1" applyAlignment="1">
      <alignment horizontal="center" vertical="center"/>
    </xf>
    <xf numFmtId="0" fontId="59" fillId="9" borderId="10" xfId="0" applyFont="1" applyFill="1" applyBorder="1" applyAlignment="1">
      <alignment horizontal="center" vertical="center"/>
    </xf>
    <xf numFmtId="0" fontId="59" fillId="9" borderId="14" xfId="0" applyFont="1" applyFill="1" applyBorder="1" applyAlignment="1">
      <alignment horizontal="center" vertical="center"/>
    </xf>
    <xf numFmtId="0" fontId="59" fillId="3" borderId="10" xfId="0" applyFont="1" applyFill="1" applyBorder="1" applyAlignment="1">
      <alignment horizontal="center" vertical="center"/>
    </xf>
    <xf numFmtId="0" fontId="59" fillId="5" borderId="16" xfId="0" applyFont="1" applyFill="1" applyBorder="1" applyAlignment="1">
      <alignment horizontal="center" vertical="center"/>
    </xf>
    <xf numFmtId="0" fontId="59" fillId="5" borderId="10" xfId="0" applyFont="1" applyFill="1" applyBorder="1" applyAlignment="1">
      <alignment horizontal="center" vertical="center"/>
    </xf>
    <xf numFmtId="3" fontId="59" fillId="3" borderId="16" xfId="0" applyNumberFormat="1" applyFont="1" applyFill="1" applyBorder="1" applyAlignment="1">
      <alignment horizontal="center" vertical="center"/>
    </xf>
    <xf numFmtId="3" fontId="59" fillId="3" borderId="10" xfId="0" applyNumberFormat="1" applyFont="1" applyFill="1" applyBorder="1" applyAlignment="1">
      <alignment horizontal="center" vertical="center"/>
    </xf>
    <xf numFmtId="3" fontId="59" fillId="3" borderId="22" xfId="0" applyNumberFormat="1" applyFont="1" applyFill="1" applyBorder="1" applyAlignment="1">
      <alignment horizontal="center" vertical="center"/>
    </xf>
    <xf numFmtId="3" fontId="59" fillId="3" borderId="17" xfId="0" applyNumberFormat="1" applyFont="1" applyFill="1" applyBorder="1" applyAlignment="1">
      <alignment horizontal="center" vertical="center"/>
    </xf>
    <xf numFmtId="3" fontId="59" fillId="3" borderId="14" xfId="0" applyNumberFormat="1" applyFont="1" applyFill="1" applyBorder="1" applyAlignment="1">
      <alignment horizontal="center" vertical="center"/>
    </xf>
    <xf numFmtId="3" fontId="59" fillId="3" borderId="11" xfId="0" applyNumberFormat="1" applyFont="1" applyFill="1" applyBorder="1" applyAlignment="1">
      <alignment horizontal="center" vertical="center"/>
    </xf>
    <xf numFmtId="3" fontId="59" fillId="3" borderId="12" xfId="0" applyNumberFormat="1" applyFont="1" applyFill="1" applyBorder="1" applyAlignment="1">
      <alignment horizontal="center" vertical="center"/>
    </xf>
    <xf numFmtId="0" fontId="59" fillId="11" borderId="22" xfId="0" applyFont="1" applyFill="1" applyBorder="1" applyAlignment="1">
      <alignment horizontal="center" vertical="center"/>
    </xf>
    <xf numFmtId="0" fontId="59" fillId="11" borderId="10" xfId="0" applyFont="1" applyFill="1" applyBorder="1" applyAlignment="1">
      <alignment horizontal="center" vertical="center"/>
    </xf>
    <xf numFmtId="0" fontId="59" fillId="11" borderId="14" xfId="0" applyFont="1" applyFill="1" applyBorder="1" applyAlignment="1">
      <alignment horizontal="center" vertical="center"/>
    </xf>
    <xf numFmtId="0" fontId="59" fillId="4" borderId="14" xfId="0" applyFont="1" applyFill="1" applyBorder="1" applyAlignment="1">
      <alignment horizontal="left"/>
    </xf>
    <xf numFmtId="165" fontId="59" fillId="5" borderId="43" xfId="13" applyFont="1" applyFill="1" applyBorder="1" applyAlignment="1">
      <alignment horizontal="center" wrapText="1" shrinkToFit="1"/>
    </xf>
    <xf numFmtId="165" fontId="59" fillId="3" borderId="23" xfId="13" applyFont="1" applyFill="1" applyBorder="1" applyAlignment="1">
      <alignment horizontal="center" wrapText="1" shrinkToFit="1"/>
    </xf>
    <xf numFmtId="165" fontId="59" fillId="3" borderId="43" xfId="13" applyFont="1" applyFill="1" applyBorder="1" applyAlignment="1">
      <alignment horizontal="center" wrapText="1" shrinkToFit="1"/>
    </xf>
    <xf numFmtId="165" fontId="59" fillId="5" borderId="23" xfId="13" applyFont="1" applyFill="1" applyBorder="1" applyAlignment="1">
      <alignment horizontal="center" wrapText="1" shrinkToFit="1"/>
    </xf>
    <xf numFmtId="165" fontId="59" fillId="3" borderId="23" xfId="13" applyFont="1" applyFill="1" applyBorder="1" applyAlignment="1">
      <alignment horizontal="center"/>
    </xf>
    <xf numFmtId="165" fontId="59" fillId="3" borderId="43" xfId="13" applyFont="1" applyFill="1" applyBorder="1" applyAlignment="1">
      <alignment horizontal="center"/>
    </xf>
    <xf numFmtId="165" fontId="59" fillId="0" borderId="25" xfId="13" applyFont="1" applyBorder="1" applyAlignment="1">
      <alignment horizontal="center" wrapText="1" shrinkToFit="1"/>
    </xf>
    <xf numFmtId="165" fontId="59" fillId="0" borderId="27" xfId="13" applyFont="1" applyBorder="1" applyAlignment="1">
      <alignment horizontal="center" wrapText="1" shrinkToFit="1"/>
    </xf>
    <xf numFmtId="165" fontId="59" fillId="5" borderId="16" xfId="13" applyFont="1" applyFill="1" applyBorder="1" applyAlignment="1">
      <alignment horizontal="center" wrapText="1" shrinkToFit="1"/>
    </xf>
    <xf numFmtId="165" fontId="59" fillId="0" borderId="26" xfId="13" applyFont="1" applyBorder="1" applyAlignment="1">
      <alignment horizontal="center" wrapText="1" shrinkToFit="1"/>
    </xf>
    <xf numFmtId="165" fontId="59" fillId="0" borderId="17" xfId="13" applyFont="1" applyBorder="1" applyAlignment="1">
      <alignment horizontal="center" wrapText="1" shrinkToFit="1"/>
    </xf>
    <xf numFmtId="165" fontId="59" fillId="3" borderId="25" xfId="13" applyFont="1" applyFill="1" applyBorder="1" applyAlignment="1">
      <alignment horizontal="center"/>
    </xf>
    <xf numFmtId="165" fontId="59" fillId="4" borderId="42" xfId="13" applyFont="1" applyFill="1" applyBorder="1" applyAlignment="1">
      <alignment horizontal="center"/>
    </xf>
    <xf numFmtId="165" fontId="59" fillId="3" borderId="42" xfId="13" applyFont="1" applyFill="1" applyBorder="1" applyAlignment="1">
      <alignment horizontal="center"/>
    </xf>
    <xf numFmtId="165" fontId="59" fillId="4" borderId="23" xfId="13" applyFont="1" applyFill="1" applyBorder="1" applyAlignment="1">
      <alignment horizontal="center"/>
    </xf>
    <xf numFmtId="165" fontId="59" fillId="3" borderId="10" xfId="13" applyFont="1" applyFill="1" applyBorder="1" applyAlignment="1">
      <alignment horizontal="center"/>
    </xf>
    <xf numFmtId="165" fontId="59" fillId="3" borderId="31" xfId="13" applyFont="1" applyFill="1" applyBorder="1" applyAlignment="1">
      <alignment horizontal="center"/>
    </xf>
    <xf numFmtId="165" fontId="59" fillId="4" borderId="32" xfId="13" applyFont="1" applyFill="1" applyBorder="1" applyAlignment="1">
      <alignment horizontal="center"/>
    </xf>
    <xf numFmtId="165" fontId="59" fillId="4" borderId="44" xfId="13" applyFont="1" applyFill="1" applyBorder="1" applyAlignment="1">
      <alignment horizontal="center"/>
    </xf>
    <xf numFmtId="165" fontId="59" fillId="3" borderId="44" xfId="13" applyFont="1" applyFill="1" applyBorder="1" applyAlignment="1">
      <alignment horizontal="center"/>
    </xf>
    <xf numFmtId="165" fontId="59" fillId="3" borderId="32" xfId="13" applyFont="1" applyFill="1" applyBorder="1" applyAlignment="1">
      <alignment horizontal="center"/>
    </xf>
    <xf numFmtId="165" fontId="59" fillId="4" borderId="43" xfId="13" applyFont="1" applyFill="1" applyBorder="1" applyAlignment="1">
      <alignment horizontal="center"/>
    </xf>
    <xf numFmtId="165" fontId="59" fillId="0" borderId="26" xfId="13" applyFont="1" applyBorder="1" applyAlignment="1">
      <alignment horizontal="center" shrinkToFit="1"/>
    </xf>
    <xf numFmtId="165" fontId="59" fillId="0" borderId="25" xfId="13" applyFont="1" applyBorder="1" applyAlignment="1">
      <alignment horizontal="center" shrinkToFit="1"/>
    </xf>
    <xf numFmtId="165" fontId="59" fillId="4" borderId="26" xfId="13" applyFont="1" applyFill="1" applyBorder="1" applyAlignment="1">
      <alignment horizontal="center"/>
    </xf>
    <xf numFmtId="165" fontId="59" fillId="3" borderId="28" xfId="13" applyFont="1" applyFill="1" applyBorder="1" applyAlignment="1">
      <alignment horizontal="center" wrapText="1" shrinkToFit="1"/>
    </xf>
    <xf numFmtId="165" fontId="59" fillId="4" borderId="25" xfId="13" applyFont="1" applyFill="1" applyBorder="1" applyAlignment="1">
      <alignment horizontal="center" wrapText="1" shrinkToFit="1"/>
    </xf>
    <xf numFmtId="165" fontId="59" fillId="3" borderId="25" xfId="13" applyFont="1" applyFill="1" applyBorder="1" applyAlignment="1">
      <alignment horizontal="center" wrapText="1" shrinkToFit="1"/>
    </xf>
    <xf numFmtId="165" fontId="59" fillId="3" borderId="26" xfId="13" applyFont="1" applyFill="1" applyBorder="1" applyAlignment="1">
      <alignment horizontal="center"/>
    </xf>
    <xf numFmtId="165" fontId="59" fillId="0" borderId="28" xfId="13" applyFont="1" applyBorder="1" applyAlignment="1">
      <alignment horizontal="center"/>
    </xf>
    <xf numFmtId="165" fontId="59" fillId="5" borderId="27" xfId="13" applyFont="1" applyFill="1" applyBorder="1" applyAlignment="1">
      <alignment horizontal="center"/>
    </xf>
    <xf numFmtId="165" fontId="59" fillId="5" borderId="25" xfId="13" applyFont="1" applyFill="1" applyBorder="1" applyAlignment="1">
      <alignment horizontal="center"/>
    </xf>
    <xf numFmtId="165" fontId="59" fillId="5" borderId="23" xfId="13" applyFont="1" applyFill="1" applyBorder="1" applyAlignment="1">
      <alignment horizontal="center"/>
    </xf>
    <xf numFmtId="165" fontId="59" fillId="5" borderId="32" xfId="13" applyFont="1" applyFill="1" applyBorder="1" applyAlignment="1">
      <alignment horizontal="center"/>
    </xf>
    <xf numFmtId="0" fontId="59" fillId="0" borderId="31" xfId="0" applyFont="1" applyBorder="1" applyAlignment="1">
      <alignment horizontal="left"/>
    </xf>
    <xf numFmtId="165" fontId="59" fillId="5" borderId="30" xfId="13" applyFont="1" applyFill="1" applyBorder="1" applyAlignment="1">
      <alignment horizontal="center" wrapText="1" shrinkToFit="1"/>
    </xf>
    <xf numFmtId="165" fontId="59" fillId="3" borderId="32" xfId="13" applyFont="1" applyFill="1" applyBorder="1" applyAlignment="1">
      <alignment horizontal="center" wrapText="1" shrinkToFit="1"/>
    </xf>
    <xf numFmtId="165" fontId="59" fillId="3" borderId="30" xfId="13" applyFont="1" applyFill="1" applyBorder="1" applyAlignment="1">
      <alignment horizontal="center" wrapText="1" shrinkToFit="1"/>
    </xf>
    <xf numFmtId="165" fontId="59" fillId="5" borderId="32" xfId="13" applyFont="1" applyFill="1" applyBorder="1" applyAlignment="1">
      <alignment horizontal="center" wrapText="1" shrinkToFit="1"/>
    </xf>
    <xf numFmtId="165" fontId="59" fillId="3" borderId="30" xfId="13" applyFont="1" applyFill="1" applyBorder="1" applyAlignment="1">
      <alignment horizontal="center"/>
    </xf>
    <xf numFmtId="165" fontId="59" fillId="0" borderId="32" xfId="13" applyFont="1" applyBorder="1" applyAlignment="1">
      <alignment horizontal="center" wrapText="1" shrinkToFit="1"/>
    </xf>
    <xf numFmtId="165" fontId="59" fillId="0" borderId="33" xfId="13" applyFont="1" applyBorder="1" applyAlignment="1">
      <alignment horizontal="center" wrapText="1" shrinkToFit="1"/>
    </xf>
    <xf numFmtId="165" fontId="59" fillId="0" borderId="30" xfId="13" applyFont="1" applyBorder="1" applyAlignment="1">
      <alignment horizontal="center" wrapText="1" shrinkToFit="1"/>
    </xf>
    <xf numFmtId="165" fontId="59" fillId="4" borderId="31" xfId="13" applyFont="1" applyFill="1" applyBorder="1" applyAlignment="1">
      <alignment horizontal="center"/>
    </xf>
    <xf numFmtId="165" fontId="59" fillId="4" borderId="33" xfId="13" applyFont="1" applyFill="1" applyBorder="1" applyAlignment="1">
      <alignment horizontal="center"/>
    </xf>
    <xf numFmtId="165" fontId="59" fillId="3" borderId="33" xfId="13" applyFont="1" applyFill="1" applyBorder="1" applyAlignment="1">
      <alignment horizontal="center"/>
    </xf>
    <xf numFmtId="165" fontId="59" fillId="0" borderId="30" xfId="13" applyFont="1" applyBorder="1" applyAlignment="1">
      <alignment horizontal="center" shrinkToFit="1"/>
    </xf>
    <xf numFmtId="165" fontId="59" fillId="0" borderId="32" xfId="13" applyFont="1" applyBorder="1" applyAlignment="1">
      <alignment horizontal="center" shrinkToFit="1"/>
    </xf>
    <xf numFmtId="165" fontId="59" fillId="4" borderId="30" xfId="13" applyFont="1" applyFill="1" applyBorder="1" applyAlignment="1">
      <alignment horizontal="center"/>
    </xf>
    <xf numFmtId="165" fontId="59" fillId="3" borderId="31" xfId="13" applyFont="1" applyFill="1" applyBorder="1" applyAlignment="1">
      <alignment horizontal="center" wrapText="1" shrinkToFit="1"/>
    </xf>
    <xf numFmtId="165" fontId="59" fillId="4" borderId="32" xfId="13" applyFont="1" applyFill="1" applyBorder="1" applyAlignment="1">
      <alignment horizontal="center" wrapText="1" shrinkToFit="1"/>
    </xf>
    <xf numFmtId="165" fontId="59" fillId="0" borderId="31" xfId="13" applyFont="1" applyBorder="1" applyAlignment="1">
      <alignment horizontal="center"/>
    </xf>
    <xf numFmtId="165" fontId="59" fillId="5" borderId="33" xfId="13" applyFont="1" applyFill="1" applyBorder="1" applyAlignment="1">
      <alignment horizontal="center"/>
    </xf>
    <xf numFmtId="0" fontId="59" fillId="0" borderId="24" xfId="0" applyFont="1" applyBorder="1" applyAlignment="1">
      <alignment horizontal="left"/>
    </xf>
    <xf numFmtId="165" fontId="59" fillId="5" borderId="0" xfId="13" applyFont="1" applyFill="1" applyAlignment="1">
      <alignment horizontal="center" wrapText="1" shrinkToFit="1"/>
    </xf>
    <xf numFmtId="165" fontId="59" fillId="0" borderId="29" xfId="13" applyFont="1" applyBorder="1" applyAlignment="1">
      <alignment horizontal="center" wrapText="1" shrinkToFit="1"/>
    </xf>
    <xf numFmtId="165" fontId="59" fillId="3" borderId="15" xfId="13" applyFont="1" applyFill="1" applyBorder="1" applyAlignment="1">
      <alignment horizontal="center"/>
    </xf>
    <xf numFmtId="0" fontId="59" fillId="4" borderId="24" xfId="0" applyFont="1" applyFill="1" applyBorder="1" applyAlignment="1">
      <alignment horizontal="left"/>
    </xf>
    <xf numFmtId="0" fontId="59" fillId="4" borderId="31" xfId="0" applyFont="1" applyFill="1" applyBorder="1" applyAlignment="1">
      <alignment horizontal="left"/>
    </xf>
    <xf numFmtId="165" fontId="59" fillId="11" borderId="32" xfId="13" applyFont="1" applyFill="1" applyBorder="1" applyAlignment="1">
      <alignment horizontal="center"/>
    </xf>
    <xf numFmtId="165" fontId="59" fillId="3" borderId="0" xfId="13" applyFont="1" applyFill="1" applyAlignment="1">
      <alignment horizontal="center"/>
    </xf>
    <xf numFmtId="165" fontId="59" fillId="4" borderId="24" xfId="13" applyFont="1" applyFill="1" applyBorder="1" applyAlignment="1">
      <alignment horizontal="center"/>
    </xf>
    <xf numFmtId="165" fontId="59" fillId="3" borderId="24" xfId="13" applyFont="1" applyFill="1" applyBorder="1" applyAlignment="1">
      <alignment horizontal="center"/>
    </xf>
    <xf numFmtId="165" fontId="59" fillId="4" borderId="15" xfId="13" applyFont="1" applyFill="1" applyBorder="1" applyAlignment="1">
      <alignment horizontal="center"/>
    </xf>
    <xf numFmtId="165" fontId="59" fillId="3" borderId="29" xfId="13" applyFont="1" applyFill="1" applyBorder="1" applyAlignment="1">
      <alignment horizontal="center"/>
    </xf>
    <xf numFmtId="165" fontId="59" fillId="11" borderId="33" xfId="13" applyFont="1" applyFill="1" applyBorder="1" applyAlignment="1">
      <alignment horizontal="center"/>
    </xf>
    <xf numFmtId="0" fontId="59" fillId="0" borderId="18" xfId="0" applyFont="1" applyBorder="1" applyAlignment="1">
      <alignment horizontal="left"/>
    </xf>
    <xf numFmtId="165" fontId="59" fillId="5" borderId="38" xfId="13" applyFont="1" applyFill="1" applyBorder="1" applyAlignment="1">
      <alignment horizontal="center" wrapText="1" shrinkToFit="1"/>
    </xf>
    <xf numFmtId="165" fontId="59" fillId="3" borderId="39" xfId="13" applyFont="1" applyFill="1" applyBorder="1" applyAlignment="1">
      <alignment horizontal="center" wrapText="1" shrinkToFit="1"/>
    </xf>
    <xf numFmtId="165" fontId="59" fillId="3" borderId="38" xfId="13" applyFont="1" applyFill="1" applyBorder="1" applyAlignment="1">
      <alignment horizontal="center" wrapText="1" shrinkToFit="1"/>
    </xf>
    <xf numFmtId="165" fontId="59" fillId="5" borderId="39" xfId="13" applyFont="1" applyFill="1" applyBorder="1" applyAlignment="1">
      <alignment horizontal="center" wrapText="1" shrinkToFit="1"/>
    </xf>
    <xf numFmtId="165" fontId="59" fillId="3" borderId="34" xfId="13" applyFont="1" applyFill="1" applyBorder="1" applyAlignment="1">
      <alignment horizontal="center"/>
    </xf>
    <xf numFmtId="165" fontId="59" fillId="3" borderId="35" xfId="13" applyFont="1" applyFill="1" applyBorder="1" applyAlignment="1">
      <alignment horizontal="center"/>
    </xf>
    <xf numFmtId="165" fontId="59" fillId="0" borderId="34" xfId="13" applyFont="1" applyBorder="1" applyAlignment="1">
      <alignment horizontal="center" wrapText="1" shrinkToFit="1"/>
    </xf>
    <xf numFmtId="165" fontId="59" fillId="0" borderId="36" xfId="13" applyFont="1" applyBorder="1" applyAlignment="1">
      <alignment horizontal="center" wrapText="1" shrinkToFit="1"/>
    </xf>
    <xf numFmtId="165" fontId="59" fillId="0" borderId="35" xfId="13" applyFont="1" applyBorder="1" applyAlignment="1">
      <alignment horizontal="center" wrapText="1" shrinkToFit="1"/>
    </xf>
    <xf numFmtId="165" fontId="59" fillId="5" borderId="15" xfId="13" applyFont="1" applyFill="1" applyBorder="1" applyAlignment="1">
      <alignment horizontal="center" wrapText="1" shrinkToFit="1"/>
    </xf>
    <xf numFmtId="165" fontId="59" fillId="3" borderId="37" xfId="13" applyFont="1" applyFill="1" applyBorder="1" applyAlignment="1">
      <alignment horizontal="center"/>
    </xf>
    <xf numFmtId="165" fontId="59" fillId="4" borderId="34" xfId="13" applyFont="1" applyFill="1" applyBorder="1" applyAlignment="1">
      <alignment horizontal="center"/>
    </xf>
    <xf numFmtId="165" fontId="59" fillId="3" borderId="21" xfId="13" applyFont="1" applyFill="1" applyBorder="1" applyAlignment="1">
      <alignment horizontal="center"/>
    </xf>
    <xf numFmtId="165" fontId="59" fillId="3" borderId="41" xfId="13" applyFont="1" applyFill="1" applyBorder="1" applyAlignment="1">
      <alignment horizontal="center"/>
    </xf>
    <xf numFmtId="165" fontId="59" fillId="4" borderId="39" xfId="13" applyFont="1" applyFill="1" applyBorder="1" applyAlignment="1">
      <alignment horizontal="center"/>
    </xf>
    <xf numFmtId="165" fontId="59" fillId="4" borderId="29" xfId="13" applyFont="1" applyFill="1" applyBorder="1" applyAlignment="1">
      <alignment horizontal="center"/>
    </xf>
    <xf numFmtId="165" fontId="59" fillId="4" borderId="0" xfId="13" applyFont="1" applyFill="1" applyAlignment="1">
      <alignment horizontal="center"/>
    </xf>
    <xf numFmtId="165" fontId="59" fillId="0" borderId="35" xfId="13" applyFont="1" applyBorder="1" applyAlignment="1">
      <alignment horizontal="center" shrinkToFit="1"/>
    </xf>
    <xf numFmtId="165" fontId="59" fillId="0" borderId="34" xfId="13" applyFont="1" applyBorder="1" applyAlignment="1">
      <alignment horizontal="center" shrinkToFit="1"/>
    </xf>
    <xf numFmtId="165" fontId="59" fillId="4" borderId="35" xfId="13" applyFont="1" applyFill="1" applyBorder="1" applyAlignment="1">
      <alignment horizontal="center"/>
    </xf>
    <xf numFmtId="165" fontId="59" fillId="3" borderId="37" xfId="13" applyFont="1" applyFill="1" applyBorder="1" applyAlignment="1">
      <alignment horizontal="center" wrapText="1" shrinkToFit="1"/>
    </xf>
    <xf numFmtId="165" fontId="59" fillId="4" borderId="34" xfId="13" applyFont="1" applyFill="1" applyBorder="1" applyAlignment="1">
      <alignment horizontal="center" wrapText="1" shrinkToFit="1"/>
    </xf>
    <xf numFmtId="165" fontId="59" fillId="3" borderId="21" xfId="13" applyFont="1" applyFill="1" applyBorder="1" applyAlignment="1">
      <alignment horizontal="center" wrapText="1" shrinkToFit="1"/>
    </xf>
    <xf numFmtId="165" fontId="59" fillId="4" borderId="21" xfId="13" applyFont="1" applyFill="1" applyBorder="1" applyAlignment="1">
      <alignment horizontal="center" wrapText="1" shrinkToFit="1"/>
    </xf>
    <xf numFmtId="165" fontId="59" fillId="3" borderId="34" xfId="13" applyFont="1" applyFill="1" applyBorder="1" applyAlignment="1">
      <alignment horizontal="center" wrapText="1" shrinkToFit="1"/>
    </xf>
    <xf numFmtId="165" fontId="59" fillId="0" borderId="37" xfId="13" applyFont="1" applyBorder="1" applyAlignment="1">
      <alignment horizontal="center"/>
    </xf>
    <xf numFmtId="165" fontId="59" fillId="11" borderId="36" xfId="13" applyFont="1" applyFill="1" applyBorder="1" applyAlignment="1">
      <alignment horizontal="center"/>
    </xf>
    <xf numFmtId="165" fontId="59" fillId="11" borderId="34" xfId="13" applyFont="1" applyFill="1" applyBorder="1" applyAlignment="1">
      <alignment horizontal="center"/>
    </xf>
    <xf numFmtId="0" fontId="59" fillId="0" borderId="22" xfId="0" applyFont="1" applyBorder="1" applyAlignment="1">
      <alignment horizontal="left"/>
    </xf>
    <xf numFmtId="165" fontId="59" fillId="0" borderId="24" xfId="13" applyFont="1" applyBorder="1" applyAlignment="1">
      <alignment horizontal="center"/>
    </xf>
    <xf numFmtId="165" fontId="59" fillId="0" borderId="21" xfId="13" applyFont="1" applyBorder="1" applyAlignment="1">
      <alignment horizontal="center"/>
    </xf>
    <xf numFmtId="165" fontId="59" fillId="0" borderId="18" xfId="13" applyFont="1" applyBorder="1" applyAlignment="1">
      <alignment horizontal="center"/>
    </xf>
    <xf numFmtId="165" fontId="59" fillId="0" borderId="11" xfId="13" applyFont="1" applyBorder="1" applyAlignment="1">
      <alignment horizontal="center"/>
    </xf>
    <xf numFmtId="165" fontId="59" fillId="0" borderId="22" xfId="13" applyFont="1" applyBorder="1" applyAlignment="1">
      <alignment horizontal="center" wrapText="1"/>
    </xf>
    <xf numFmtId="165" fontId="59" fillId="0" borderId="12" xfId="13" applyFont="1" applyBorder="1" applyAlignment="1">
      <alignment horizontal="center" wrapText="1"/>
    </xf>
    <xf numFmtId="165" fontId="59" fillId="11" borderId="22" xfId="13" applyFont="1" applyFill="1" applyBorder="1" applyAlignment="1">
      <alignment horizontal="center" wrapText="1"/>
    </xf>
    <xf numFmtId="165" fontId="59" fillId="11" borderId="12" xfId="13" applyFont="1" applyFill="1" applyBorder="1" applyAlignment="1">
      <alignment horizontal="center" wrapText="1"/>
    </xf>
    <xf numFmtId="165" fontId="59" fillId="9" borderId="22" xfId="13" applyFont="1" applyFill="1" applyBorder="1" applyAlignment="1">
      <alignment horizontal="center" wrapText="1"/>
    </xf>
    <xf numFmtId="165" fontId="59" fillId="9" borderId="12" xfId="13" applyFont="1" applyFill="1" applyBorder="1" applyAlignment="1">
      <alignment horizontal="center" wrapText="1"/>
    </xf>
    <xf numFmtId="165" fontId="59" fillId="0" borderId="12" xfId="13" applyFont="1" applyBorder="1" applyAlignment="1">
      <alignment horizontal="center"/>
    </xf>
    <xf numFmtId="165" fontId="59" fillId="0" borderId="22" xfId="13" applyFont="1" applyBorder="1" applyAlignment="1">
      <alignment horizontal="center"/>
    </xf>
    <xf numFmtId="165" fontId="59" fillId="3" borderId="19" xfId="13" applyFont="1" applyFill="1" applyBorder="1" applyAlignment="1">
      <alignment horizontal="center"/>
    </xf>
    <xf numFmtId="165" fontId="59" fillId="9" borderId="21" xfId="13" applyFont="1" applyFill="1" applyBorder="1" applyAlignment="1">
      <alignment horizontal="center"/>
    </xf>
    <xf numFmtId="165" fontId="59" fillId="9" borderId="19" xfId="13" applyFont="1" applyFill="1" applyBorder="1" applyAlignment="1">
      <alignment horizontal="center"/>
    </xf>
    <xf numFmtId="165" fontId="59" fillId="3" borderId="22" xfId="13" applyFont="1" applyFill="1" applyBorder="1" applyAlignment="1">
      <alignment horizontal="center"/>
    </xf>
    <xf numFmtId="165" fontId="59" fillId="5" borderId="22" xfId="13" applyFont="1" applyFill="1" applyBorder="1" applyAlignment="1">
      <alignment horizontal="center"/>
    </xf>
    <xf numFmtId="165" fontId="59" fillId="5" borderId="21" xfId="13" applyFont="1" applyFill="1" applyBorder="1" applyAlignment="1">
      <alignment horizontal="center"/>
    </xf>
    <xf numFmtId="165" fontId="59" fillId="9" borderId="22" xfId="13" applyFont="1" applyFill="1" applyBorder="1" applyAlignment="1">
      <alignment horizontal="center"/>
    </xf>
    <xf numFmtId="165" fontId="59" fillId="11" borderId="11" xfId="13" applyFont="1" applyFill="1" applyBorder="1" applyAlignment="1">
      <alignment horizontal="center"/>
    </xf>
    <xf numFmtId="165" fontId="59" fillId="11" borderId="22" xfId="13" applyFont="1" applyFill="1" applyBorder="1" applyAlignment="1">
      <alignment horizontal="center"/>
    </xf>
    <xf numFmtId="165" fontId="59" fillId="11" borderId="12" xfId="13" applyFont="1" applyFill="1" applyBorder="1" applyAlignment="1">
      <alignment horizontal="center"/>
    </xf>
    <xf numFmtId="165" fontId="59" fillId="0" borderId="19" xfId="13" applyFont="1" applyBorder="1" applyAlignment="1">
      <alignment horizontal="center"/>
    </xf>
    <xf numFmtId="165" fontId="59" fillId="11" borderId="19" xfId="13" applyFont="1" applyFill="1" applyBorder="1" applyAlignment="1">
      <alignment horizontal="center"/>
    </xf>
    <xf numFmtId="165" fontId="59" fillId="11" borderId="21" xfId="13" applyFont="1" applyFill="1" applyBorder="1" applyAlignment="1">
      <alignment horizontal="center"/>
    </xf>
    <xf numFmtId="165" fontId="59" fillId="11" borderId="20" xfId="13" applyFont="1" applyFill="1" applyBorder="1" applyAlignment="1">
      <alignment horizontal="center"/>
    </xf>
    <xf numFmtId="165" fontId="59" fillId="0" borderId="13" xfId="13" applyFont="1" applyBorder="1" applyAlignment="1">
      <alignment horizontal="center"/>
    </xf>
    <xf numFmtId="165" fontId="59" fillId="5" borderId="11" xfId="13" applyFont="1" applyFill="1" applyBorder="1" applyAlignment="1">
      <alignment horizontal="center"/>
    </xf>
    <xf numFmtId="165" fontId="59" fillId="3" borderId="11" xfId="13" applyFont="1" applyFill="1" applyBorder="1" applyAlignment="1">
      <alignment horizontal="center"/>
    </xf>
    <xf numFmtId="165" fontId="59" fillId="4" borderId="11" xfId="13" applyFont="1" applyFill="1" applyBorder="1" applyAlignment="1">
      <alignment horizontal="center"/>
    </xf>
    <xf numFmtId="165" fontId="59" fillId="4" borderId="22" xfId="13" applyFont="1" applyFill="1" applyBorder="1" applyAlignment="1">
      <alignment horizontal="center"/>
    </xf>
    <xf numFmtId="165" fontId="59" fillId="9" borderId="12" xfId="13" applyFont="1" applyFill="1" applyBorder="1" applyAlignment="1">
      <alignment horizontal="center"/>
    </xf>
    <xf numFmtId="165" fontId="59" fillId="4" borderId="12" xfId="13" applyFont="1" applyFill="1" applyBorder="1" applyAlignment="1">
      <alignment horizontal="center"/>
    </xf>
    <xf numFmtId="165" fontId="59" fillId="4" borderId="13" xfId="13" applyFont="1" applyFill="1" applyBorder="1" applyAlignment="1">
      <alignment horizontal="center"/>
    </xf>
    <xf numFmtId="165" fontId="59" fillId="3" borderId="18" xfId="13" applyFont="1" applyFill="1" applyBorder="1" applyAlignment="1">
      <alignment horizontal="center"/>
    </xf>
    <xf numFmtId="165" fontId="59" fillId="4" borderId="21" xfId="13" applyFont="1" applyFill="1" applyBorder="1" applyAlignment="1">
      <alignment horizontal="center"/>
    </xf>
    <xf numFmtId="165" fontId="59" fillId="9" borderId="18" xfId="13" applyFont="1" applyFill="1" applyBorder="1" applyAlignment="1">
      <alignment horizontal="center"/>
    </xf>
    <xf numFmtId="165" fontId="59" fillId="9" borderId="11" xfId="13" applyFont="1" applyFill="1" applyBorder="1" applyAlignment="1">
      <alignment horizontal="center"/>
    </xf>
    <xf numFmtId="165" fontId="59" fillId="3" borderId="12" xfId="13" applyFont="1" applyFill="1" applyBorder="1" applyAlignment="1">
      <alignment horizontal="center"/>
    </xf>
    <xf numFmtId="165" fontId="59" fillId="5" borderId="12" xfId="13" applyFont="1" applyFill="1" applyBorder="1" applyAlignment="1">
      <alignment horizontal="center"/>
    </xf>
    <xf numFmtId="165" fontId="59" fillId="3" borderId="13" xfId="13" applyFont="1" applyFill="1" applyBorder="1" applyAlignment="1">
      <alignment horizontal="center"/>
    </xf>
    <xf numFmtId="165" fontId="59" fillId="11" borderId="11" xfId="13" applyFont="1" applyFill="1" applyBorder="1" applyAlignment="1">
      <alignment horizontal="center" wrapText="1"/>
    </xf>
    <xf numFmtId="165" fontId="59" fillId="11" borderId="13" xfId="13" applyFont="1" applyFill="1" applyBorder="1" applyAlignment="1">
      <alignment horizontal="center" wrapText="1"/>
    </xf>
    <xf numFmtId="165" fontId="59" fillId="9" borderId="20" xfId="13" applyFont="1" applyFill="1" applyBorder="1" applyAlignment="1">
      <alignment horizontal="center"/>
    </xf>
    <xf numFmtId="165" fontId="59" fillId="0" borderId="20" xfId="13" applyFont="1" applyBorder="1" applyAlignment="1">
      <alignment horizontal="center"/>
    </xf>
    <xf numFmtId="165" fontId="59" fillId="4" borderId="19" xfId="13" applyFont="1" applyFill="1" applyBorder="1" applyAlignment="1">
      <alignment horizontal="center"/>
    </xf>
    <xf numFmtId="165" fontId="59" fillId="0" borderId="18" xfId="13" applyFont="1" applyBorder="1"/>
    <xf numFmtId="165" fontId="59" fillId="0" borderId="21" xfId="13" applyFont="1" applyBorder="1"/>
    <xf numFmtId="165" fontId="59" fillId="0" borderId="13" xfId="13" applyFont="1" applyBorder="1"/>
    <xf numFmtId="165" fontId="59" fillId="3" borderId="12" xfId="13" applyFont="1" applyFill="1" applyBorder="1"/>
    <xf numFmtId="165" fontId="59" fillId="0" borderId="22" xfId="13" applyFont="1" applyBorder="1"/>
    <xf numFmtId="165" fontId="59" fillId="3" borderId="18" xfId="13" applyFont="1" applyFill="1" applyBorder="1"/>
    <xf numFmtId="165" fontId="59" fillId="3" borderId="21" xfId="13" applyFont="1" applyFill="1" applyBorder="1"/>
    <xf numFmtId="165" fontId="59" fillId="5" borderId="19" xfId="13" applyFont="1" applyFill="1" applyBorder="1"/>
    <xf numFmtId="165" fontId="59" fillId="5" borderId="21" xfId="13" applyFont="1" applyFill="1" applyBorder="1"/>
    <xf numFmtId="165" fontId="59" fillId="3" borderId="19" xfId="13" applyFont="1" applyFill="1" applyBorder="1"/>
    <xf numFmtId="165" fontId="59" fillId="3" borderId="22" xfId="13" applyFont="1" applyFill="1" applyBorder="1"/>
    <xf numFmtId="165" fontId="59" fillId="3" borderId="20" xfId="13" applyFont="1" applyFill="1" applyBorder="1"/>
    <xf numFmtId="165" fontId="59" fillId="0" borderId="11" xfId="13" applyFont="1" applyBorder="1"/>
    <xf numFmtId="165" fontId="59" fillId="0" borderId="15" xfId="13" applyFont="1" applyBorder="1"/>
    <xf numFmtId="165" fontId="59" fillId="11" borderId="24" xfId="13" applyFont="1" applyFill="1" applyBorder="1"/>
    <xf numFmtId="165" fontId="59" fillId="11" borderId="21" xfId="13" applyFont="1" applyFill="1" applyBorder="1"/>
    <xf numFmtId="165" fontId="59" fillId="11" borderId="15" xfId="13" applyFont="1" applyFill="1" applyBorder="1"/>
    <xf numFmtId="0" fontId="59" fillId="0" borderId="15" xfId="0" applyFont="1" applyBorder="1" applyAlignment="1">
      <alignment horizontal="left"/>
    </xf>
    <xf numFmtId="165" fontId="59" fillId="0" borderId="23" xfId="13" applyFont="1" applyBorder="1" applyAlignment="1">
      <alignment horizontal="center"/>
    </xf>
    <xf numFmtId="165" fontId="59" fillId="0" borderId="15" xfId="13" applyFont="1" applyBorder="1" applyAlignment="1">
      <alignment horizontal="center" wrapText="1"/>
    </xf>
    <xf numFmtId="165" fontId="59" fillId="0" borderId="16" xfId="13" applyFont="1" applyBorder="1" applyAlignment="1">
      <alignment horizontal="center" wrapText="1"/>
    </xf>
    <xf numFmtId="165" fontId="59" fillId="11" borderId="15" xfId="13" applyFont="1" applyFill="1" applyBorder="1" applyAlignment="1">
      <alignment horizontal="center" wrapText="1"/>
    </xf>
    <xf numFmtId="165" fontId="59" fillId="11" borderId="16" xfId="13" applyFont="1" applyFill="1" applyBorder="1" applyAlignment="1">
      <alignment horizontal="center" wrapText="1"/>
    </xf>
    <xf numFmtId="165" fontId="59" fillId="0" borderId="10" xfId="13" applyFont="1" applyBorder="1" applyAlignment="1">
      <alignment horizontal="center" wrapText="1"/>
    </xf>
    <xf numFmtId="165" fontId="59" fillId="11" borderId="10" xfId="13" applyFont="1" applyFill="1" applyBorder="1" applyAlignment="1">
      <alignment horizontal="center" wrapText="1"/>
    </xf>
    <xf numFmtId="165" fontId="59" fillId="9" borderId="10" xfId="13" applyFont="1" applyFill="1" applyBorder="1" applyAlignment="1">
      <alignment horizontal="center" wrapText="1"/>
    </xf>
    <xf numFmtId="165" fontId="59" fillId="9" borderId="16" xfId="13" applyFont="1" applyFill="1" applyBorder="1" applyAlignment="1">
      <alignment horizontal="center" wrapText="1"/>
    </xf>
    <xf numFmtId="165" fontId="59" fillId="0" borderId="43" xfId="13" applyFont="1" applyBorder="1" applyAlignment="1">
      <alignment horizontal="center"/>
    </xf>
    <xf numFmtId="165" fontId="59" fillId="0" borderId="42" xfId="13" applyFont="1" applyBorder="1" applyAlignment="1">
      <alignment horizontal="center"/>
    </xf>
    <xf numFmtId="165" fontId="59" fillId="0" borderId="15" xfId="13" applyFont="1" applyBorder="1" applyAlignment="1">
      <alignment horizontal="center"/>
    </xf>
    <xf numFmtId="165" fontId="59" fillId="9" borderId="15" xfId="13" applyFont="1" applyFill="1" applyBorder="1" applyAlignment="1">
      <alignment horizontal="center"/>
    </xf>
    <xf numFmtId="165" fontId="59" fillId="5" borderId="15" xfId="13" applyFont="1" applyFill="1" applyBorder="1" applyAlignment="1">
      <alignment horizontal="center"/>
    </xf>
    <xf numFmtId="165" fontId="59" fillId="9" borderId="24" xfId="13" applyFont="1" applyFill="1" applyBorder="1" applyAlignment="1">
      <alignment horizontal="center"/>
    </xf>
    <xf numFmtId="165" fontId="59" fillId="3" borderId="16" xfId="13" applyFont="1" applyFill="1" applyBorder="1" applyAlignment="1">
      <alignment horizontal="center"/>
    </xf>
    <xf numFmtId="165" fontId="59" fillId="3" borderId="14" xfId="13" applyFont="1" applyFill="1" applyBorder="1" applyAlignment="1">
      <alignment horizontal="center"/>
    </xf>
    <xf numFmtId="165" fontId="59" fillId="11" borderId="15" xfId="13" applyFont="1" applyFill="1" applyBorder="1" applyAlignment="1">
      <alignment horizontal="center"/>
    </xf>
    <xf numFmtId="165" fontId="59" fillId="11" borderId="24" xfId="13" applyFont="1" applyFill="1" applyBorder="1" applyAlignment="1">
      <alignment horizontal="center"/>
    </xf>
    <xf numFmtId="165" fontId="59" fillId="0" borderId="15" xfId="13" applyFont="1" applyBorder="1" applyAlignment="1">
      <alignment horizontal="center" wrapText="1" shrinkToFit="1"/>
    </xf>
    <xf numFmtId="165" fontId="59" fillId="0" borderId="0" xfId="13" applyFont="1" applyAlignment="1">
      <alignment horizontal="center"/>
    </xf>
    <xf numFmtId="165" fontId="59" fillId="0" borderId="10" xfId="13" applyFont="1" applyBorder="1" applyAlignment="1">
      <alignment horizontal="center" wrapText="1" shrinkToFit="1"/>
    </xf>
    <xf numFmtId="165" fontId="59" fillId="11" borderId="0" xfId="13" applyFont="1" applyFill="1" applyAlignment="1">
      <alignment horizontal="center"/>
    </xf>
    <xf numFmtId="165" fontId="59" fillId="11" borderId="15" xfId="13" applyFont="1" applyFill="1" applyBorder="1" applyAlignment="1">
      <alignment horizontal="center" wrapText="1" shrinkToFit="1"/>
    </xf>
    <xf numFmtId="165" fontId="59" fillId="5" borderId="0" xfId="13" applyFont="1" applyFill="1" applyAlignment="1">
      <alignment horizontal="center"/>
    </xf>
    <xf numFmtId="165" fontId="59" fillId="4" borderId="10" xfId="13" applyFont="1" applyFill="1" applyBorder="1" applyAlignment="1">
      <alignment horizontal="center"/>
    </xf>
    <xf numFmtId="165" fontId="59" fillId="5" borderId="24" xfId="13" applyFont="1" applyFill="1" applyBorder="1" applyAlignment="1">
      <alignment horizontal="center"/>
    </xf>
    <xf numFmtId="165" fontId="59" fillId="3" borderId="17" xfId="13" applyFont="1" applyFill="1" applyBorder="1" applyAlignment="1">
      <alignment horizontal="center"/>
    </xf>
    <xf numFmtId="165" fontId="59" fillId="4" borderId="16" xfId="13" applyFont="1" applyFill="1" applyBorder="1" applyAlignment="1">
      <alignment horizontal="center"/>
    </xf>
    <xf numFmtId="165" fontId="59" fillId="4" borderId="17" xfId="13" applyFont="1" applyFill="1" applyBorder="1" applyAlignment="1">
      <alignment horizontal="center"/>
    </xf>
    <xf numFmtId="165" fontId="59" fillId="11" borderId="24" xfId="13" applyFont="1" applyFill="1" applyBorder="1" applyAlignment="1">
      <alignment horizontal="center" wrapText="1"/>
    </xf>
    <xf numFmtId="165" fontId="59" fillId="0" borderId="17" xfId="13" applyFont="1" applyBorder="1" applyAlignment="1">
      <alignment horizontal="center"/>
    </xf>
    <xf numFmtId="165" fontId="59" fillId="0" borderId="10" xfId="13" applyFont="1" applyBorder="1" applyAlignment="1">
      <alignment horizontal="center"/>
    </xf>
    <xf numFmtId="165" fontId="59" fillId="0" borderId="16" xfId="13" applyFont="1" applyBorder="1" applyAlignment="1">
      <alignment horizontal="center"/>
    </xf>
    <xf numFmtId="165" fontId="59" fillId="9" borderId="0" xfId="13" applyFont="1" applyFill="1" applyAlignment="1">
      <alignment horizontal="center"/>
    </xf>
    <xf numFmtId="165" fontId="59" fillId="0" borderId="29" xfId="13" applyFont="1" applyBorder="1"/>
    <xf numFmtId="165" fontId="59" fillId="3" borderId="0" xfId="13" applyFont="1" applyFill="1"/>
    <xf numFmtId="165" fontId="59" fillId="3" borderId="29" xfId="13" applyFont="1" applyFill="1" applyBorder="1"/>
    <xf numFmtId="165" fontId="59" fillId="5" borderId="29" xfId="13" applyFont="1" applyFill="1" applyBorder="1"/>
    <xf numFmtId="165" fontId="59" fillId="0" borderId="23" xfId="13" applyFont="1" applyBorder="1"/>
    <xf numFmtId="165" fontId="59" fillId="3" borderId="42" xfId="13" applyFont="1" applyFill="1" applyBorder="1"/>
    <xf numFmtId="165" fontId="59" fillId="3" borderId="23" xfId="13" applyFont="1" applyFill="1" applyBorder="1"/>
    <xf numFmtId="165" fontId="59" fillId="3" borderId="43" xfId="13" applyFont="1" applyFill="1" applyBorder="1"/>
    <xf numFmtId="165" fontId="59" fillId="3" borderId="15" xfId="13" applyFont="1" applyFill="1" applyBorder="1"/>
    <xf numFmtId="165" fontId="59" fillId="0" borderId="42" xfId="13" applyFont="1" applyBorder="1"/>
    <xf numFmtId="165" fontId="59" fillId="11" borderId="25" xfId="13" applyFont="1" applyFill="1" applyBorder="1"/>
    <xf numFmtId="0" fontId="59" fillId="0" borderId="32" xfId="0" applyFont="1" applyBorder="1" applyAlignment="1">
      <alignment horizontal="left"/>
    </xf>
    <xf numFmtId="165" fontId="59" fillId="0" borderId="32" xfId="13" applyFont="1" applyBorder="1" applyAlignment="1">
      <alignment horizontal="center"/>
    </xf>
    <xf numFmtId="165" fontId="59" fillId="11" borderId="32" xfId="13" applyFont="1" applyFill="1" applyBorder="1" applyAlignment="1">
      <alignment horizontal="center" wrapText="1"/>
    </xf>
    <xf numFmtId="165" fontId="59" fillId="0" borderId="21" xfId="13" applyFont="1" applyBorder="1" applyAlignment="1">
      <alignment horizontal="center" wrapText="1" shrinkToFit="1"/>
    </xf>
    <xf numFmtId="165" fontId="59" fillId="0" borderId="43" xfId="13" applyFont="1" applyBorder="1" applyAlignment="1">
      <alignment horizontal="center" wrapText="1" shrinkToFit="1"/>
    </xf>
    <xf numFmtId="165" fontId="59" fillId="0" borderId="23" xfId="13" applyFont="1" applyBorder="1" applyAlignment="1">
      <alignment horizontal="center" wrapText="1" shrinkToFit="1"/>
    </xf>
    <xf numFmtId="165" fontId="59" fillId="3" borderId="42" xfId="13" applyFont="1" applyFill="1" applyBorder="1" applyAlignment="1">
      <alignment horizontal="center" wrapText="1" shrinkToFit="1"/>
    </xf>
    <xf numFmtId="165" fontId="59" fillId="4" borderId="23" xfId="13" applyFont="1" applyFill="1" applyBorder="1" applyAlignment="1">
      <alignment horizontal="center" wrapText="1" shrinkToFit="1"/>
    </xf>
    <xf numFmtId="165" fontId="59" fillId="0" borderId="14" xfId="13" applyFont="1" applyBorder="1" applyAlignment="1">
      <alignment horizontal="center"/>
    </xf>
    <xf numFmtId="165" fontId="59" fillId="11" borderId="17" xfId="13" applyFont="1" applyFill="1" applyBorder="1" applyAlignment="1">
      <alignment horizontal="center"/>
    </xf>
    <xf numFmtId="165" fontId="59" fillId="11" borderId="16" xfId="13" applyFont="1" applyFill="1" applyBorder="1" applyAlignment="1">
      <alignment horizontal="center"/>
    </xf>
    <xf numFmtId="165" fontId="59" fillId="5" borderId="10" xfId="13" applyFont="1" applyFill="1" applyBorder="1" applyAlignment="1">
      <alignment horizontal="center"/>
    </xf>
    <xf numFmtId="165" fontId="59" fillId="11" borderId="14" xfId="13" applyFont="1" applyFill="1" applyBorder="1" applyAlignment="1">
      <alignment horizontal="center"/>
    </xf>
    <xf numFmtId="165" fontId="59" fillId="9" borderId="16" xfId="13" applyFont="1" applyFill="1" applyBorder="1" applyAlignment="1">
      <alignment horizontal="center"/>
    </xf>
    <xf numFmtId="165" fontId="59" fillId="9" borderId="10" xfId="13" applyFont="1" applyFill="1" applyBorder="1" applyAlignment="1">
      <alignment horizontal="center"/>
    </xf>
    <xf numFmtId="165" fontId="59" fillId="9" borderId="14" xfId="13" applyFont="1" applyFill="1" applyBorder="1" applyAlignment="1">
      <alignment horizontal="center"/>
    </xf>
    <xf numFmtId="165" fontId="59" fillId="11" borderId="10" xfId="13" applyFont="1" applyFill="1" applyBorder="1" applyAlignment="1">
      <alignment horizontal="center"/>
    </xf>
    <xf numFmtId="165" fontId="59" fillId="4" borderId="14" xfId="13" applyFont="1" applyFill="1" applyBorder="1" applyAlignment="1">
      <alignment horizontal="center"/>
    </xf>
    <xf numFmtId="165" fontId="59" fillId="5" borderId="14" xfId="13" applyFont="1" applyFill="1" applyBorder="1" applyAlignment="1">
      <alignment horizontal="center"/>
    </xf>
    <xf numFmtId="165" fontId="59" fillId="0" borderId="14" xfId="13" applyFont="1" applyBorder="1"/>
    <xf numFmtId="165" fontId="59" fillId="0" borderId="17" xfId="13" applyFont="1" applyBorder="1"/>
    <xf numFmtId="165" fontId="59" fillId="3" borderId="14" xfId="13" applyFont="1" applyFill="1" applyBorder="1"/>
    <xf numFmtId="165" fontId="59" fillId="0" borderId="10" xfId="13" applyFont="1" applyBorder="1"/>
    <xf numFmtId="165" fontId="59" fillId="3" borderId="10" xfId="13" applyFont="1" applyFill="1" applyBorder="1"/>
    <xf numFmtId="165" fontId="59" fillId="5" borderId="10" xfId="13" applyFont="1" applyFill="1" applyBorder="1"/>
    <xf numFmtId="165" fontId="59" fillId="3" borderId="16" xfId="13" applyFont="1" applyFill="1" applyBorder="1"/>
    <xf numFmtId="165" fontId="59" fillId="11" borderId="10" xfId="13" applyFont="1" applyFill="1" applyBorder="1"/>
    <xf numFmtId="0" fontId="59" fillId="0" borderId="10" xfId="0" applyFont="1" applyBorder="1" applyAlignment="1">
      <alignment horizontal="left"/>
    </xf>
    <xf numFmtId="165" fontId="59" fillId="9" borderId="17" xfId="13" applyFont="1" applyFill="1" applyBorder="1" applyAlignment="1">
      <alignment horizontal="center"/>
    </xf>
    <xf numFmtId="0" fontId="59" fillId="0" borderId="21" xfId="0" applyFont="1" applyBorder="1" applyAlignment="1">
      <alignment horizontal="left"/>
    </xf>
    <xf numFmtId="165" fontId="59" fillId="5" borderId="18" xfId="13" applyFont="1" applyFill="1" applyBorder="1" applyAlignment="1">
      <alignment horizontal="center"/>
    </xf>
    <xf numFmtId="165" fontId="59" fillId="4" borderId="18" xfId="13" applyFont="1" applyFill="1" applyBorder="1" applyAlignment="1">
      <alignment horizontal="center"/>
    </xf>
    <xf numFmtId="165" fontId="59" fillId="4" borderId="20" xfId="13" applyFont="1" applyFill="1" applyBorder="1" applyAlignment="1">
      <alignment horizontal="center"/>
    </xf>
    <xf numFmtId="165" fontId="59" fillId="11" borderId="18" xfId="13" applyFont="1" applyFill="1" applyBorder="1" applyAlignment="1">
      <alignment horizontal="center"/>
    </xf>
    <xf numFmtId="165" fontId="59" fillId="3" borderId="20" xfId="13" applyFont="1" applyFill="1" applyBorder="1" applyAlignment="1">
      <alignment horizontal="center"/>
    </xf>
    <xf numFmtId="0" fontId="59" fillId="0" borderId="22" xfId="0" applyFont="1" applyBorder="1" applyAlignment="1">
      <alignment horizontal="center"/>
    </xf>
    <xf numFmtId="0" fontId="59" fillId="0" borderId="0" xfId="0" applyFont="1"/>
    <xf numFmtId="165" fontId="59" fillId="0" borderId="0" xfId="0" applyNumberFormat="1" applyFont="1" applyAlignment="1">
      <alignment vertical="center"/>
    </xf>
    <xf numFmtId="165" fontId="59" fillId="0" borderId="0" xfId="13" applyFont="1" applyAlignment="1">
      <alignment vertical="center"/>
    </xf>
    <xf numFmtId="43" fontId="59" fillId="0" borderId="0" xfId="0" applyNumberFormat="1" applyFont="1" applyAlignment="1">
      <alignment horizontal="center" vertical="center"/>
    </xf>
    <xf numFmtId="165" fontId="59" fillId="0" borderId="0" xfId="0" applyNumberFormat="1" applyFont="1" applyAlignment="1">
      <alignment horizontal="center" vertical="center"/>
    </xf>
    <xf numFmtId="0" fontId="58" fillId="0" borderId="2" xfId="0" applyFont="1" applyBorder="1"/>
    <xf numFmtId="0" fontId="58" fillId="4" borderId="2" xfId="0" applyFont="1" applyFill="1" applyBorder="1"/>
    <xf numFmtId="0" fontId="58" fillId="0" borderId="0" xfId="0" applyFont="1"/>
    <xf numFmtId="2" fontId="59" fillId="0" borderId="0" xfId="0" applyNumberFormat="1" applyFont="1" applyAlignment="1">
      <alignment vertical="center"/>
    </xf>
    <xf numFmtId="165" fontId="59" fillId="0" borderId="0" xfId="0" applyNumberFormat="1" applyFont="1" applyAlignment="1">
      <alignment vertical="center" wrapText="1"/>
    </xf>
    <xf numFmtId="0" fontId="59" fillId="0" borderId="0" xfId="0" applyFont="1" applyAlignment="1">
      <alignment vertical="center" wrapText="1"/>
    </xf>
    <xf numFmtId="0" fontId="84" fillId="0" borderId="50" xfId="0" applyFont="1" applyBorder="1" applyAlignment="1">
      <alignment horizontal="center" vertical="center"/>
    </xf>
    <xf numFmtId="0" fontId="84" fillId="0" borderId="0" xfId="0" applyFont="1" applyAlignment="1">
      <alignment horizontal="center" vertical="center"/>
    </xf>
    <xf numFmtId="165" fontId="59" fillId="0" borderId="50" xfId="0" applyNumberFormat="1" applyFont="1" applyBorder="1" applyAlignment="1">
      <alignment vertical="center"/>
    </xf>
    <xf numFmtId="0" fontId="59" fillId="0" borderId="0" xfId="0" applyFont="1" applyAlignment="1">
      <alignment horizontal="right" vertical="center"/>
    </xf>
    <xf numFmtId="4" fontId="59" fillId="0" borderId="0" xfId="0" applyNumberFormat="1" applyFont="1" applyAlignment="1">
      <alignment horizontal="right" vertical="center" shrinkToFit="1"/>
    </xf>
    <xf numFmtId="4" fontId="59" fillId="0" borderId="0" xfId="27" applyNumberFormat="1" applyFont="1" applyAlignment="1">
      <alignment horizontal="right" vertical="top" shrinkToFit="1"/>
    </xf>
    <xf numFmtId="4" fontId="35" fillId="21" borderId="66" xfId="29" applyNumberFormat="1" applyFont="1" applyFill="1" applyBorder="1" applyAlignment="1">
      <alignment horizontal="right" vertical="top" shrinkToFit="1"/>
    </xf>
    <xf numFmtId="165" fontId="59" fillId="16" borderId="2" xfId="13" applyFont="1" applyFill="1" applyBorder="1" applyAlignment="1">
      <alignment vertical="center"/>
    </xf>
    <xf numFmtId="165" fontId="59" fillId="16" borderId="9" xfId="13" applyFont="1" applyFill="1" applyBorder="1" applyAlignment="1">
      <alignment vertical="center"/>
    </xf>
    <xf numFmtId="0" fontId="85" fillId="0" borderId="0" xfId="0" applyFont="1" applyAlignment="1">
      <alignment horizontal="center" vertical="center" wrapText="1"/>
    </xf>
    <xf numFmtId="4" fontId="59" fillId="0" borderId="0" xfId="0" applyNumberFormat="1" applyFont="1" applyAlignment="1">
      <alignment horizontal="right" vertical="top" shrinkToFit="1"/>
    </xf>
    <xf numFmtId="4" fontId="59" fillId="0" borderId="0" xfId="27" applyNumberFormat="1" applyFont="1" applyAlignment="1">
      <alignment horizontal="right" shrinkToFit="1"/>
    </xf>
    <xf numFmtId="4" fontId="84" fillId="0" borderId="0" xfId="1" applyNumberFormat="1" applyFont="1" applyAlignment="1">
      <alignment horizontal="right" vertical="top" shrinkToFit="1"/>
    </xf>
    <xf numFmtId="0" fontId="59" fillId="17" borderId="2" xfId="1" applyFont="1" applyFill="1" applyBorder="1" applyAlignment="1">
      <alignment wrapText="1"/>
    </xf>
    <xf numFmtId="165" fontId="60" fillId="17" borderId="2" xfId="13" applyFont="1" applyFill="1" applyBorder="1" applyAlignment="1">
      <alignment wrapText="1"/>
    </xf>
    <xf numFmtId="0" fontId="59" fillId="17" borderId="2" xfId="1" applyFont="1" applyFill="1" applyBorder="1"/>
    <xf numFmtId="165" fontId="60" fillId="17" borderId="2" xfId="13" applyFont="1" applyFill="1" applyBorder="1"/>
    <xf numFmtId="0" fontId="59" fillId="0" borderId="19" xfId="0" applyFont="1" applyBorder="1" applyAlignment="1">
      <alignment vertical="center" wrapText="1"/>
    </xf>
    <xf numFmtId="49" fontId="36" fillId="0" borderId="2" xfId="1" applyNumberFormat="1" applyFont="1" applyBorder="1" applyAlignment="1">
      <alignment horizontal="center" vertical="center" wrapText="1"/>
    </xf>
    <xf numFmtId="49" fontId="36" fillId="0" borderId="2" xfId="1" applyNumberFormat="1" applyFont="1" applyBorder="1" applyAlignment="1">
      <alignment horizontal="center" vertical="center" wrapText="1"/>
    </xf>
    <xf numFmtId="165" fontId="30" fillId="0" borderId="2" xfId="13" applyFont="1" applyFill="1" applyBorder="1"/>
    <xf numFmtId="165" fontId="38" fillId="0" borderId="2" xfId="13" applyFont="1" applyFill="1" applyBorder="1" applyAlignment="1">
      <alignment horizontal="center" vertical="center" wrapText="1"/>
    </xf>
    <xf numFmtId="49" fontId="36" fillId="0" borderId="2" xfId="1" applyNumberFormat="1" applyFont="1" applyFill="1" applyBorder="1" applyAlignment="1">
      <alignment horizontal="center" vertical="center" wrapText="1"/>
    </xf>
    <xf numFmtId="0" fontId="59" fillId="5" borderId="10" xfId="0" applyFont="1" applyFill="1" applyBorder="1" applyAlignment="1">
      <alignment horizontal="center" vertical="center" wrapText="1"/>
    </xf>
    <xf numFmtId="165" fontId="59" fillId="5" borderId="19" xfId="13" applyFont="1" applyFill="1" applyBorder="1" applyAlignment="1">
      <alignment horizontal="center"/>
    </xf>
    <xf numFmtId="165" fontId="59" fillId="9" borderId="32" xfId="13" applyFont="1" applyFill="1" applyBorder="1" applyAlignment="1">
      <alignment horizontal="center"/>
    </xf>
    <xf numFmtId="165" fontId="32" fillId="17" borderId="2" xfId="13" applyFont="1" applyFill="1" applyBorder="1" applyAlignment="1">
      <alignment horizontal="center" vertical="center"/>
    </xf>
    <xf numFmtId="165" fontId="38" fillId="17" borderId="2" xfId="13" applyFont="1" applyFill="1" applyBorder="1" applyAlignment="1">
      <alignment horizontal="center" vertical="center"/>
    </xf>
    <xf numFmtId="0" fontId="87" fillId="0" borderId="0" xfId="1" applyFont="1"/>
    <xf numFmtId="0" fontId="18" fillId="4" borderId="60" xfId="1" applyFont="1" applyFill="1" applyBorder="1" applyAlignment="1">
      <alignment horizontal="center" vertical="center" wrapText="1"/>
    </xf>
    <xf numFmtId="0" fontId="9" fillId="4" borderId="2" xfId="1" applyFont="1" applyFill="1" applyBorder="1" applyAlignment="1">
      <alignment horizontal="center" vertical="center"/>
    </xf>
    <xf numFmtId="164" fontId="29" fillId="4" borderId="62" xfId="4" applyFont="1" applyFill="1" applyBorder="1" applyAlignment="1">
      <alignment horizontal="right" vertical="center" shrinkToFit="1"/>
    </xf>
    <xf numFmtId="165" fontId="29" fillId="4" borderId="2" xfId="13" applyFont="1" applyFill="1" applyBorder="1" applyAlignment="1">
      <alignment horizontal="right" wrapText="1" shrinkToFit="1"/>
    </xf>
    <xf numFmtId="164" fontId="29" fillId="4" borderId="2" xfId="4" applyFont="1" applyFill="1" applyBorder="1" applyAlignment="1">
      <alignment horizontal="right" vertical="center" shrinkToFit="1"/>
    </xf>
    <xf numFmtId="165" fontId="53" fillId="0" borderId="0" xfId="13" applyFont="1"/>
    <xf numFmtId="164" fontId="11" fillId="4" borderId="2" xfId="4" applyFont="1" applyFill="1" applyBorder="1" applyAlignment="1">
      <alignment horizontal="right" vertical="center" shrinkToFit="1"/>
    </xf>
    <xf numFmtId="0" fontId="65" fillId="11" borderId="20" xfId="1" applyFont="1" applyFill="1" applyBorder="1"/>
    <xf numFmtId="165" fontId="64" fillId="11" borderId="21" xfId="13" applyFont="1" applyFill="1" applyBorder="1" applyAlignment="1">
      <alignment horizontal="center"/>
    </xf>
    <xf numFmtId="165" fontId="64" fillId="11" borderId="19" xfId="13" applyFont="1" applyFill="1" applyBorder="1" applyAlignment="1">
      <alignment horizontal="center"/>
    </xf>
    <xf numFmtId="0" fontId="2" fillId="23" borderId="2" xfId="1" applyFont="1" applyFill="1" applyBorder="1" applyAlignment="1">
      <alignment horizontal="center" vertical="center" wrapText="1"/>
    </xf>
    <xf numFmtId="165" fontId="21" fillId="0" borderId="32" xfId="13" applyFont="1" applyFill="1" applyBorder="1" applyAlignment="1">
      <alignment horizontal="center"/>
    </xf>
    <xf numFmtId="165" fontId="21" fillId="0" borderId="34" xfId="13" applyFont="1" applyFill="1" applyBorder="1" applyAlignment="1">
      <alignment horizontal="center"/>
    </xf>
    <xf numFmtId="165" fontId="20" fillId="0" borderId="21" xfId="13" applyFont="1" applyFill="1" applyBorder="1"/>
    <xf numFmtId="164" fontId="2" fillId="0" borderId="0" xfId="32" applyFont="1" applyAlignment="1">
      <alignment vertical="center"/>
    </xf>
    <xf numFmtId="43" fontId="2" fillId="0" borderId="0" xfId="1" applyNumberFormat="1" applyFont="1" applyAlignment="1">
      <alignment vertical="center"/>
    </xf>
    <xf numFmtId="165" fontId="24" fillId="0" borderId="31" xfId="1" applyNumberFormat="1" applyFont="1" applyBorder="1"/>
    <xf numFmtId="165" fontId="24" fillId="0" borderId="32" xfId="1" applyNumberFormat="1" applyFont="1" applyBorder="1"/>
    <xf numFmtId="165" fontId="24" fillId="0" borderId="28" xfId="1" applyNumberFormat="1" applyFont="1" applyBorder="1"/>
    <xf numFmtId="165" fontId="24" fillId="0" borderId="25" xfId="1" applyNumberFormat="1" applyFont="1" applyBorder="1"/>
    <xf numFmtId="165" fontId="24" fillId="0" borderId="37" xfId="1" applyNumberFormat="1" applyFont="1" applyBorder="1"/>
    <xf numFmtId="165" fontId="24" fillId="0" borderId="34" xfId="1" applyNumberFormat="1" applyFont="1" applyBorder="1"/>
    <xf numFmtId="165" fontId="59" fillId="4" borderId="41" xfId="13" applyFont="1" applyFill="1" applyBorder="1" applyAlignment="1">
      <alignment horizontal="center"/>
    </xf>
    <xf numFmtId="165" fontId="21" fillId="0" borderId="31" xfId="13" applyFont="1" applyFill="1" applyBorder="1" applyAlignment="1">
      <alignment horizontal="center"/>
    </xf>
    <xf numFmtId="165" fontId="21" fillId="0" borderId="37" xfId="13" applyFont="1" applyFill="1" applyBorder="1" applyAlignment="1">
      <alignment horizontal="center"/>
    </xf>
    <xf numFmtId="165" fontId="21" fillId="0" borderId="30" xfId="13" applyFont="1" applyFill="1" applyBorder="1" applyAlignment="1">
      <alignment horizontal="center"/>
    </xf>
    <xf numFmtId="165" fontId="21" fillId="0" borderId="35" xfId="13" applyFont="1" applyFill="1" applyBorder="1" applyAlignment="1">
      <alignment horizontal="center"/>
    </xf>
    <xf numFmtId="165" fontId="21" fillId="18" borderId="28" xfId="13" applyFont="1" applyFill="1" applyBorder="1" applyAlignment="1">
      <alignment horizontal="center"/>
    </xf>
    <xf numFmtId="165" fontId="21" fillId="18" borderId="25" xfId="13" applyFont="1" applyFill="1" applyBorder="1" applyAlignment="1">
      <alignment horizontal="center"/>
    </xf>
    <xf numFmtId="165" fontId="21" fillId="18" borderId="26" xfId="13" applyFont="1" applyFill="1" applyBorder="1" applyAlignment="1">
      <alignment horizontal="center"/>
    </xf>
    <xf numFmtId="165" fontId="21" fillId="18" borderId="30" xfId="13" applyFont="1" applyFill="1" applyBorder="1" applyAlignment="1">
      <alignment horizontal="center"/>
    </xf>
    <xf numFmtId="49" fontId="36" fillId="0" borderId="2" xfId="1" applyNumberFormat="1" applyFont="1" applyBorder="1" applyAlignment="1">
      <alignment horizontal="center" vertical="center" wrapText="1"/>
    </xf>
    <xf numFmtId="165" fontId="21" fillId="18" borderId="24" xfId="13" applyFont="1" applyFill="1" applyBorder="1" applyAlignment="1">
      <alignment horizontal="center"/>
    </xf>
    <xf numFmtId="165" fontId="21" fillId="18" borderId="15" xfId="13" applyFont="1" applyFill="1" applyBorder="1" applyAlignment="1">
      <alignment horizontal="center"/>
    </xf>
    <xf numFmtId="165" fontId="20" fillId="18" borderId="11" xfId="13" applyFont="1" applyFill="1" applyBorder="1"/>
    <xf numFmtId="165" fontId="20" fillId="0" borderId="18" xfId="13" applyFont="1" applyFill="1" applyBorder="1"/>
    <xf numFmtId="165" fontId="20" fillId="0" borderId="42" xfId="13" applyFont="1" applyFill="1" applyBorder="1"/>
    <xf numFmtId="165" fontId="20" fillId="0" borderId="14" xfId="13" applyFont="1" applyFill="1" applyBorder="1"/>
    <xf numFmtId="0" fontId="18" fillId="0" borderId="16" xfId="1" applyFont="1" applyFill="1" applyBorder="1" applyAlignment="1">
      <alignment horizontal="center"/>
    </xf>
    <xf numFmtId="165" fontId="20" fillId="0" borderId="19" xfId="13" applyFont="1" applyFill="1" applyBorder="1"/>
    <xf numFmtId="165" fontId="20" fillId="0" borderId="43" xfId="13" applyFont="1" applyFill="1" applyBorder="1"/>
    <xf numFmtId="165" fontId="20" fillId="0" borderId="16" xfId="13" applyFont="1" applyFill="1" applyBorder="1"/>
    <xf numFmtId="0" fontId="23" fillId="0" borderId="10" xfId="1" applyFont="1" applyFill="1" applyBorder="1"/>
    <xf numFmtId="165" fontId="21" fillId="24" borderId="25" xfId="13" applyFont="1" applyFill="1" applyBorder="1" applyAlignment="1">
      <alignment horizontal="center"/>
    </xf>
    <xf numFmtId="165" fontId="21" fillId="24" borderId="27" xfId="13" applyFont="1" applyFill="1" applyBorder="1" applyAlignment="1">
      <alignment horizontal="center"/>
    </xf>
    <xf numFmtId="165" fontId="21" fillId="24" borderId="26" xfId="13" applyFont="1" applyFill="1" applyBorder="1" applyAlignment="1">
      <alignment horizontal="center"/>
    </xf>
    <xf numFmtId="165" fontId="21" fillId="24" borderId="28" xfId="13" applyFont="1" applyFill="1" applyBorder="1" applyAlignment="1">
      <alignment horizontal="center"/>
    </xf>
    <xf numFmtId="165" fontId="21" fillId="24" borderId="32" xfId="13" applyFont="1" applyFill="1" applyBorder="1" applyAlignment="1">
      <alignment horizontal="center"/>
    </xf>
    <xf numFmtId="165" fontId="21" fillId="24" borderId="33" xfId="13" applyFont="1" applyFill="1" applyBorder="1" applyAlignment="1">
      <alignment horizontal="center"/>
    </xf>
    <xf numFmtId="165" fontId="21" fillId="24" borderId="30" xfId="13" applyFont="1" applyFill="1" applyBorder="1" applyAlignment="1">
      <alignment horizontal="center"/>
    </xf>
    <xf numFmtId="165" fontId="21" fillId="24" borderId="31" xfId="13" applyFont="1" applyFill="1" applyBorder="1" applyAlignment="1">
      <alignment horizontal="center"/>
    </xf>
    <xf numFmtId="165" fontId="21" fillId="0" borderId="23" xfId="13" applyFont="1" applyFill="1" applyBorder="1" applyAlignment="1">
      <alignment horizontal="center"/>
    </xf>
    <xf numFmtId="165" fontId="21" fillId="24" borderId="23" xfId="13" applyFont="1" applyFill="1" applyBorder="1" applyAlignment="1">
      <alignment horizontal="center"/>
    </xf>
    <xf numFmtId="0" fontId="36" fillId="0" borderId="2" xfId="1" applyFont="1" applyFill="1" applyBorder="1" applyAlignment="1">
      <alignment vertical="center" wrapText="1"/>
    </xf>
    <xf numFmtId="165" fontId="30" fillId="0" borderId="46" xfId="13" applyFont="1" applyFill="1" applyBorder="1"/>
    <xf numFmtId="0" fontId="29" fillId="0" borderId="2" xfId="0" applyFont="1" applyBorder="1" applyAlignment="1">
      <alignment horizontal="left"/>
    </xf>
    <xf numFmtId="0" fontId="29" fillId="0" borderId="2" xfId="1" applyFont="1" applyBorder="1" applyAlignment="1">
      <alignment horizontal="center"/>
    </xf>
    <xf numFmtId="0" fontId="32" fillId="0" borderId="2" xfId="1" applyFont="1" applyBorder="1" applyAlignment="1">
      <alignment horizontal="center"/>
    </xf>
    <xf numFmtId="0" fontId="5" fillId="4" borderId="2" xfId="9" applyFill="1" applyBorder="1" applyAlignment="1">
      <alignment horizontal="left" vertical="center" wrapText="1"/>
    </xf>
    <xf numFmtId="0" fontId="32" fillId="17" borderId="2" xfId="1" applyFont="1" applyFill="1" applyBorder="1"/>
    <xf numFmtId="165" fontId="30" fillId="17" borderId="2" xfId="13" applyFont="1" applyFill="1" applyBorder="1"/>
    <xf numFmtId="0" fontId="29" fillId="17" borderId="2" xfId="0" applyFont="1" applyFill="1" applyBorder="1" applyAlignment="1">
      <alignment horizontal="left"/>
    </xf>
    <xf numFmtId="165" fontId="30" fillId="17" borderId="46" xfId="13" applyFont="1" applyFill="1" applyBorder="1"/>
    <xf numFmtId="165" fontId="59" fillId="3" borderId="27" xfId="13" applyFont="1" applyFill="1" applyBorder="1" applyAlignment="1">
      <alignment horizontal="center"/>
    </xf>
    <xf numFmtId="165" fontId="53" fillId="0" borderId="2" xfId="13" applyFont="1" applyBorder="1" applyAlignment="1">
      <alignment wrapText="1"/>
    </xf>
    <xf numFmtId="165" fontId="53" fillId="4" borderId="2" xfId="13" applyFont="1" applyFill="1" applyBorder="1" applyAlignment="1">
      <alignment wrapText="1"/>
    </xf>
    <xf numFmtId="165" fontId="59" fillId="9" borderId="23" xfId="13" applyFont="1" applyFill="1" applyBorder="1" applyAlignment="1">
      <alignment horizontal="center"/>
    </xf>
    <xf numFmtId="165" fontId="43" fillId="18" borderId="2" xfId="13" applyFont="1" applyFill="1" applyBorder="1" applyAlignment="1">
      <alignment vertical="center"/>
    </xf>
    <xf numFmtId="165" fontId="33" fillId="0" borderId="45" xfId="1" applyNumberFormat="1" applyFont="1" applyBorder="1" applyAlignment="1">
      <alignment horizontal="center" vertical="center"/>
    </xf>
    <xf numFmtId="0" fontId="64" fillId="0" borderId="22" xfId="1" applyFont="1" applyBorder="1" applyAlignment="1">
      <alignment horizontal="center"/>
    </xf>
    <xf numFmtId="0" fontId="64" fillId="0" borderId="10" xfId="1" applyFont="1" applyBorder="1" applyAlignment="1">
      <alignment horizontal="center"/>
    </xf>
    <xf numFmtId="0" fontId="64" fillId="0" borderId="21" xfId="1" applyFont="1" applyBorder="1" applyAlignment="1">
      <alignment horizontal="center"/>
    </xf>
    <xf numFmtId="0" fontId="18" fillId="0" borderId="11" xfId="1" applyFont="1" applyBorder="1" applyAlignment="1">
      <alignment horizontal="center"/>
    </xf>
    <xf numFmtId="0" fontId="18" fillId="0" borderId="18" xfId="1" applyFont="1" applyBorder="1" applyAlignment="1">
      <alignment horizontal="center"/>
    </xf>
    <xf numFmtId="49" fontId="36" fillId="0" borderId="2" xfId="1" applyNumberFormat="1" applyFont="1" applyBorder="1" applyAlignment="1">
      <alignment horizontal="center" vertical="center" wrapText="1"/>
    </xf>
    <xf numFmtId="165" fontId="39" fillId="15" borderId="2" xfId="13" applyFont="1" applyFill="1" applyBorder="1" applyAlignment="1">
      <alignment horizontal="center" vertical="center" wrapText="1"/>
    </xf>
    <xf numFmtId="49" fontId="36" fillId="0" borderId="2" xfId="1" applyNumberFormat="1" applyFont="1" applyBorder="1" applyAlignment="1">
      <alignment horizontal="center" vertical="center" wrapText="1"/>
    </xf>
    <xf numFmtId="164" fontId="59" fillId="9" borderId="12" xfId="32" applyFont="1" applyFill="1" applyBorder="1" applyAlignment="1">
      <alignment horizontal="center" wrapText="1"/>
    </xf>
    <xf numFmtId="164" fontId="59" fillId="9" borderId="22" xfId="32" applyFont="1" applyFill="1" applyBorder="1" applyAlignment="1">
      <alignment horizontal="center" wrapText="1"/>
    </xf>
    <xf numFmtId="165" fontId="59" fillId="0" borderId="13" xfId="13" applyFont="1" applyBorder="1" applyAlignment="1">
      <alignment horizontal="center" wrapText="1"/>
    </xf>
    <xf numFmtId="165" fontId="59" fillId="9" borderId="11" xfId="13" applyFont="1" applyFill="1" applyBorder="1" applyAlignment="1">
      <alignment horizontal="center" wrapText="1"/>
    </xf>
    <xf numFmtId="165" fontId="59" fillId="9" borderId="14" xfId="13" applyFont="1" applyFill="1" applyBorder="1" applyAlignment="1">
      <alignment horizontal="center" wrapText="1"/>
    </xf>
    <xf numFmtId="165" fontId="59" fillId="9" borderId="13" xfId="13" applyFont="1" applyFill="1" applyBorder="1" applyAlignment="1">
      <alignment horizontal="center" wrapText="1"/>
    </xf>
    <xf numFmtId="165" fontId="59" fillId="9" borderId="17" xfId="13" applyFont="1" applyFill="1" applyBorder="1" applyAlignment="1">
      <alignment horizontal="center" wrapText="1"/>
    </xf>
    <xf numFmtId="165" fontId="59" fillId="3" borderId="33" xfId="13" applyFont="1" applyFill="1" applyBorder="1" applyAlignment="1">
      <alignment horizontal="center" wrapText="1" shrinkToFit="1"/>
    </xf>
    <xf numFmtId="165" fontId="59" fillId="3" borderId="36" xfId="13" applyFont="1" applyFill="1" applyBorder="1" applyAlignment="1">
      <alignment horizontal="center" wrapText="1" shrinkToFit="1"/>
    </xf>
    <xf numFmtId="165" fontId="53" fillId="5" borderId="2" xfId="13" applyFont="1" applyFill="1" applyBorder="1"/>
    <xf numFmtId="164" fontId="59" fillId="3" borderId="32" xfId="32" applyFont="1" applyFill="1" applyBorder="1" applyAlignment="1">
      <alignment horizontal="center"/>
    </xf>
    <xf numFmtId="164" fontId="59" fillId="4" borderId="33" xfId="32" applyFont="1" applyFill="1" applyBorder="1" applyAlignment="1">
      <alignment horizontal="center"/>
    </xf>
    <xf numFmtId="4" fontId="6" fillId="0" borderId="5" xfId="12" applyAlignment="1">
      <alignment horizontal="right" vertical="center" shrinkToFit="1"/>
    </xf>
    <xf numFmtId="165" fontId="59" fillId="14" borderId="32" xfId="13" applyFont="1" applyFill="1" applyBorder="1" applyAlignment="1">
      <alignment horizontal="center"/>
    </xf>
    <xf numFmtId="165" fontId="59" fillId="14" borderId="31" xfId="13" applyFont="1" applyFill="1" applyBorder="1" applyAlignment="1">
      <alignment horizontal="center"/>
    </xf>
    <xf numFmtId="0" fontId="9" fillId="0" borderId="13" xfId="1" applyFont="1" applyBorder="1" applyAlignment="1">
      <alignment vertical="center" wrapText="1"/>
    </xf>
    <xf numFmtId="0" fontId="9" fillId="0" borderId="12" xfId="1" applyFont="1" applyBorder="1" applyAlignment="1">
      <alignment vertical="center" wrapText="1"/>
    </xf>
    <xf numFmtId="165" fontId="44" fillId="25" borderId="2" xfId="13" applyFont="1" applyFill="1" applyBorder="1" applyAlignment="1">
      <alignment vertical="center"/>
    </xf>
    <xf numFmtId="164" fontId="10" fillId="0" borderId="2" xfId="4" applyFont="1" applyBorder="1" applyAlignment="1">
      <alignment horizontal="center" vertical="center" wrapText="1"/>
    </xf>
    <xf numFmtId="49" fontId="10" fillId="0" borderId="2" xfId="3" applyFont="1" applyBorder="1" applyAlignment="1">
      <alignment horizontal="center" vertical="center" wrapText="1"/>
    </xf>
    <xf numFmtId="49" fontId="10" fillId="2" borderId="2" xfId="6" applyFont="1" applyBorder="1" applyAlignment="1">
      <alignment horizontal="center" vertical="center" shrinkToFit="1"/>
    </xf>
    <xf numFmtId="0" fontId="10" fillId="2" borderId="2" xfId="7" applyFont="1" applyBorder="1" applyAlignment="1">
      <alignment horizontal="center" vertical="center" wrapText="1"/>
    </xf>
    <xf numFmtId="49" fontId="10" fillId="0" borderId="2" xfId="28" applyNumberFormat="1" applyFont="1" applyBorder="1" applyAlignment="1">
      <alignment horizontal="center" vertical="center" shrinkToFit="1"/>
    </xf>
    <xf numFmtId="0" fontId="10" fillId="0" borderId="2" xfId="11" applyFont="1" applyBorder="1" applyAlignment="1">
      <alignment horizontal="center" vertical="center" wrapText="1"/>
    </xf>
    <xf numFmtId="164" fontId="10" fillId="2" borderId="2" xfId="32" applyFont="1" applyFill="1" applyBorder="1" applyAlignment="1">
      <alignment horizontal="center" vertical="center" shrinkToFit="1"/>
    </xf>
    <xf numFmtId="164" fontId="10" fillId="0" borderId="2" xfId="32" applyFont="1" applyBorder="1" applyAlignment="1">
      <alignment horizontal="center" vertical="center" shrinkToFit="1"/>
    </xf>
    <xf numFmtId="164" fontId="7" fillId="0" borderId="2" xfId="4" applyFont="1" applyFill="1" applyBorder="1" applyAlignment="1">
      <alignment horizontal="right" vertical="center" shrinkToFit="1"/>
    </xf>
    <xf numFmtId="164" fontId="10" fillId="3" borderId="2" xfId="32" applyFont="1" applyFill="1" applyBorder="1" applyAlignment="1">
      <alignment horizontal="center" vertical="center" shrinkToFit="1"/>
    </xf>
    <xf numFmtId="164" fontId="39" fillId="3" borderId="2" xfId="32" applyFont="1" applyFill="1" applyBorder="1" applyAlignment="1">
      <alignment horizontal="center" vertical="center" shrinkToFit="1"/>
    </xf>
    <xf numFmtId="49" fontId="36" fillId="0" borderId="2" xfId="1" applyNumberFormat="1" applyFont="1" applyBorder="1" applyAlignment="1">
      <alignment horizontal="center" vertical="center" wrapText="1"/>
    </xf>
    <xf numFmtId="4" fontId="3" fillId="2" borderId="2" xfId="8" applyBorder="1" applyAlignment="1">
      <alignment horizontal="right" vertical="center" shrinkToFit="1"/>
    </xf>
    <xf numFmtId="0" fontId="36"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0" fontId="59" fillId="0" borderId="10" xfId="0" applyFont="1" applyFill="1" applyBorder="1" applyAlignment="1">
      <alignment horizontal="center" vertical="center" wrapText="1"/>
    </xf>
    <xf numFmtId="0" fontId="59" fillId="0" borderId="22" xfId="0" applyFont="1" applyFill="1" applyBorder="1" applyAlignment="1">
      <alignment horizontal="center" vertical="center" wrapText="1"/>
    </xf>
    <xf numFmtId="165" fontId="59" fillId="0" borderId="22" xfId="13" applyFont="1" applyFill="1" applyBorder="1" applyAlignment="1">
      <alignment horizontal="center"/>
    </xf>
    <xf numFmtId="165" fontId="59" fillId="0" borderId="11" xfId="13" applyFont="1" applyFill="1" applyBorder="1" applyAlignment="1">
      <alignment horizontal="center"/>
    </xf>
    <xf numFmtId="165" fontId="59" fillId="0" borderId="24" xfId="13" applyFont="1" applyFill="1" applyBorder="1" applyAlignment="1">
      <alignment horizontal="center"/>
    </xf>
    <xf numFmtId="165" fontId="59" fillId="0" borderId="15" xfId="13" applyFont="1" applyFill="1" applyBorder="1" applyAlignment="1">
      <alignment horizontal="center"/>
    </xf>
    <xf numFmtId="165" fontId="59" fillId="0" borderId="18" xfId="13" applyFont="1" applyFill="1" applyBorder="1" applyAlignment="1">
      <alignment horizontal="center"/>
    </xf>
    <xf numFmtId="165" fontId="59" fillId="0" borderId="21" xfId="13" applyFont="1" applyFill="1" applyBorder="1" applyAlignment="1">
      <alignment horizontal="center"/>
    </xf>
    <xf numFmtId="0" fontId="9" fillId="0" borderId="0" xfId="1" applyFont="1" applyAlignment="1">
      <alignment horizontal="center" vertical="center"/>
    </xf>
    <xf numFmtId="165" fontId="32" fillId="0" borderId="2" xfId="13" applyFont="1" applyBorder="1" applyAlignment="1">
      <alignment horizontal="center" vertical="center"/>
    </xf>
    <xf numFmtId="165" fontId="59" fillId="0" borderId="2" xfId="13" applyFont="1" applyFill="1" applyBorder="1" applyAlignment="1">
      <alignment horizontal="right" vertical="center" wrapText="1" shrinkToFit="1"/>
    </xf>
    <xf numFmtId="43" fontId="35" fillId="0" borderId="0" xfId="1" applyNumberFormat="1" applyFont="1" applyAlignment="1">
      <alignment vertical="center"/>
    </xf>
    <xf numFmtId="165" fontId="59" fillId="3" borderId="15" xfId="13" applyFont="1" applyFill="1" applyBorder="1" applyAlignment="1">
      <alignment horizontal="center" wrapText="1" shrinkToFit="1"/>
    </xf>
    <xf numFmtId="164" fontId="33" fillId="0" borderId="0" xfId="1" applyNumberFormat="1" applyFont="1"/>
    <xf numFmtId="165" fontId="59" fillId="3" borderId="39" xfId="13" applyFont="1" applyFill="1" applyBorder="1" applyAlignment="1">
      <alignment horizontal="center"/>
    </xf>
    <xf numFmtId="165" fontId="59" fillId="4" borderId="40" xfId="13" applyFont="1" applyFill="1" applyBorder="1" applyAlignment="1">
      <alignment horizontal="center"/>
    </xf>
    <xf numFmtId="4" fontId="59" fillId="0" borderId="0" xfId="0" applyNumberFormat="1" applyFont="1" applyFill="1" applyAlignment="1">
      <alignment horizontal="right" vertical="center" shrinkToFit="1"/>
    </xf>
    <xf numFmtId="165" fontId="59" fillId="26" borderId="43" xfId="13" applyFont="1" applyFill="1" applyBorder="1" applyAlignment="1">
      <alignment horizontal="center"/>
    </xf>
    <xf numFmtId="165" fontId="59" fillId="26" borderId="42" xfId="13" applyFont="1" applyFill="1" applyBorder="1" applyAlignment="1">
      <alignment horizontal="center"/>
    </xf>
    <xf numFmtId="165" fontId="59" fillId="9" borderId="44" xfId="13" applyFont="1" applyFill="1" applyBorder="1" applyAlignment="1">
      <alignment horizontal="center"/>
    </xf>
    <xf numFmtId="165" fontId="59" fillId="9" borderId="33" xfId="13" applyFont="1" applyFill="1" applyBorder="1" applyAlignment="1">
      <alignment horizontal="center"/>
    </xf>
    <xf numFmtId="164" fontId="75" fillId="0" borderId="0" xfId="32" applyFont="1"/>
    <xf numFmtId="0" fontId="9" fillId="4" borderId="0" xfId="1" applyFont="1" applyFill="1" applyAlignment="1">
      <alignment horizontal="center" vertical="center"/>
    </xf>
    <xf numFmtId="0" fontId="12" fillId="0" borderId="0" xfId="1" applyFont="1" applyAlignment="1">
      <alignment horizontal="center" vertical="center"/>
    </xf>
    <xf numFmtId="169" fontId="33" fillId="4" borderId="2" xfId="1" applyNumberFormat="1" applyFont="1" applyFill="1" applyBorder="1" applyAlignment="1">
      <alignment vertical="center" wrapText="1"/>
    </xf>
    <xf numFmtId="165" fontId="33" fillId="4" borderId="2" xfId="1" applyNumberFormat="1" applyFont="1" applyFill="1" applyBorder="1" applyAlignment="1">
      <alignment horizontal="center" vertical="center"/>
    </xf>
    <xf numFmtId="165" fontId="33" fillId="4" borderId="2" xfId="1" applyNumberFormat="1" applyFont="1" applyFill="1" applyBorder="1" applyAlignment="1">
      <alignment vertical="center"/>
    </xf>
    <xf numFmtId="165" fontId="37" fillId="4" borderId="2" xfId="13" applyFont="1" applyFill="1" applyBorder="1" applyAlignment="1">
      <alignment horizontal="right" vertical="center" shrinkToFit="1"/>
    </xf>
    <xf numFmtId="165" fontId="33" fillId="4" borderId="2" xfId="13" applyFont="1" applyFill="1" applyBorder="1" applyAlignment="1">
      <alignment vertical="center"/>
    </xf>
    <xf numFmtId="165" fontId="33" fillId="4" borderId="2" xfId="13" applyFont="1" applyFill="1" applyBorder="1" applyAlignment="1">
      <alignment horizontal="right" vertical="center" shrinkToFit="1"/>
    </xf>
    <xf numFmtId="0" fontId="59" fillId="0" borderId="11"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6" xfId="0" applyFont="1" applyBorder="1" applyAlignment="1">
      <alignment horizontal="center" vertical="center" wrapText="1"/>
    </xf>
    <xf numFmtId="0" fontId="59" fillId="3" borderId="14" xfId="0" applyFont="1" applyFill="1" applyBorder="1" applyAlignment="1">
      <alignment horizontal="center" vertical="center" wrapText="1"/>
    </xf>
    <xf numFmtId="0" fontId="59" fillId="3" borderId="16" xfId="0" applyFont="1" applyFill="1" applyBorder="1" applyAlignment="1">
      <alignment horizontal="center" vertical="center" wrapText="1"/>
    </xf>
    <xf numFmtId="0" fontId="59" fillId="3" borderId="11" xfId="0" applyFont="1" applyFill="1" applyBorder="1" applyAlignment="1">
      <alignment horizontal="center" vertical="center" wrapText="1"/>
    </xf>
    <xf numFmtId="0" fontId="59" fillId="3" borderId="12" xfId="0" applyFont="1" applyFill="1" applyBorder="1" applyAlignment="1">
      <alignment horizontal="center" vertical="center" wrapText="1"/>
    </xf>
    <xf numFmtId="0" fontId="59" fillId="11" borderId="11" xfId="0" applyFont="1" applyFill="1" applyBorder="1" applyAlignment="1">
      <alignment horizontal="center" vertical="center" wrapText="1"/>
    </xf>
    <xf numFmtId="0" fontId="59" fillId="11" borderId="12" xfId="0" applyFont="1" applyFill="1" applyBorder="1" applyAlignment="1">
      <alignment horizontal="center" vertical="center" wrapText="1"/>
    </xf>
    <xf numFmtId="0" fontId="59" fillId="11" borderId="13" xfId="0" applyFont="1" applyFill="1" applyBorder="1" applyAlignment="1">
      <alignment horizontal="center" vertical="center" wrapText="1"/>
    </xf>
    <xf numFmtId="0" fontId="59" fillId="0" borderId="0" xfId="0" applyFont="1" applyAlignment="1">
      <alignment horizontal="center" vertical="center"/>
    </xf>
    <xf numFmtId="0" fontId="59" fillId="0" borderId="12" xfId="0" applyFont="1" applyBorder="1" applyAlignment="1">
      <alignment vertical="center"/>
    </xf>
    <xf numFmtId="0" fontId="59" fillId="0" borderId="11" xfId="0" applyFont="1" applyBorder="1" applyAlignment="1">
      <alignment horizontal="center" vertical="center"/>
    </xf>
    <xf numFmtId="0" fontId="59" fillId="0" borderId="0" xfId="0" applyFont="1" applyAlignment="1">
      <alignment horizontal="center" vertical="center" wrapText="1"/>
    </xf>
    <xf numFmtId="0" fontId="59" fillId="11" borderId="14" xfId="0" applyFont="1" applyFill="1" applyBorder="1" applyAlignment="1">
      <alignment horizontal="center" vertical="center" wrapText="1"/>
    </xf>
    <xf numFmtId="0" fontId="59" fillId="11" borderId="16" xfId="0" applyFont="1" applyFill="1" applyBorder="1" applyAlignment="1">
      <alignment horizontal="center" vertical="center" wrapText="1"/>
    </xf>
    <xf numFmtId="0" fontId="59" fillId="3" borderId="13" xfId="0" applyFont="1" applyFill="1" applyBorder="1" applyAlignment="1">
      <alignment horizontal="center" vertical="center" wrapText="1"/>
    </xf>
    <xf numFmtId="0" fontId="59" fillId="5" borderId="14" xfId="0" applyFont="1" applyFill="1" applyBorder="1" applyAlignment="1">
      <alignment horizontal="center" vertical="center" wrapText="1"/>
    </xf>
    <xf numFmtId="0" fontId="59" fillId="5" borderId="16" xfId="0" applyFont="1" applyFill="1" applyBorder="1" applyAlignment="1">
      <alignment horizontal="center" vertical="center" wrapText="1"/>
    </xf>
    <xf numFmtId="0" fontId="59" fillId="5" borderId="11"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58" fillId="3" borderId="11" xfId="0" applyFont="1" applyFill="1" applyBorder="1" applyAlignment="1">
      <alignment horizontal="center" vertical="center" wrapText="1"/>
    </xf>
    <xf numFmtId="0" fontId="58" fillId="3" borderId="12" xfId="0" applyFont="1" applyFill="1" applyBorder="1" applyAlignment="1">
      <alignment horizontal="center" vertical="center" wrapText="1"/>
    </xf>
    <xf numFmtId="0" fontId="59" fillId="0" borderId="13" xfId="0" applyFont="1" applyBorder="1" applyAlignment="1">
      <alignment vertical="center"/>
    </xf>
    <xf numFmtId="0" fontId="59" fillId="0" borderId="2" xfId="0" applyFont="1" applyBorder="1" applyAlignment="1">
      <alignment horizontal="center" vertical="center"/>
    </xf>
    <xf numFmtId="0" fontId="64" fillId="5" borderId="12" xfId="1" applyFont="1" applyFill="1" applyBorder="1" applyAlignment="1">
      <alignment horizontal="center" vertical="center" wrapText="1"/>
    </xf>
    <xf numFmtId="0" fontId="64" fillId="11" borderId="12" xfId="1" applyFont="1" applyFill="1" applyBorder="1" applyAlignment="1">
      <alignment horizontal="center" vertical="center" wrapText="1"/>
    </xf>
    <xf numFmtId="0" fontId="64" fillId="11" borderId="13" xfId="1" applyFont="1" applyFill="1" applyBorder="1" applyAlignment="1">
      <alignment horizontal="center" vertical="center" wrapText="1"/>
    </xf>
    <xf numFmtId="0" fontId="64" fillId="0" borderId="12" xfId="1" applyFont="1" applyBorder="1" applyAlignment="1">
      <alignment horizontal="center" vertical="center" wrapText="1"/>
    </xf>
    <xf numFmtId="0" fontId="64" fillId="0" borderId="10" xfId="1" applyFont="1" applyBorder="1" applyAlignment="1">
      <alignment horizontal="center" vertical="center" wrapText="1"/>
    </xf>
    <xf numFmtId="0" fontId="64" fillId="0" borderId="14" xfId="1" applyFont="1" applyBorder="1" applyAlignment="1">
      <alignment horizontal="center" vertical="center" wrapText="1"/>
    </xf>
    <xf numFmtId="0" fontId="64" fillId="0" borderId="16" xfId="1" applyFont="1" applyBorder="1" applyAlignment="1">
      <alignment horizontal="center" vertical="center" wrapText="1"/>
    </xf>
    <xf numFmtId="0" fontId="64" fillId="0" borderId="17" xfId="1" applyFont="1" applyBorder="1" applyAlignment="1">
      <alignment horizontal="center" vertical="center" wrapText="1"/>
    </xf>
    <xf numFmtId="0" fontId="64" fillId="0" borderId="18"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11" xfId="1" applyFont="1" applyBorder="1" applyAlignment="1">
      <alignment horizontal="center" vertical="center" wrapText="1"/>
    </xf>
    <xf numFmtId="0" fontId="64" fillId="11" borderId="11" xfId="1" applyFont="1" applyFill="1" applyBorder="1" applyAlignment="1">
      <alignment horizontal="center" vertical="center" wrapText="1"/>
    </xf>
    <xf numFmtId="0" fontId="2" fillId="0" borderId="30" xfId="1" applyFont="1" applyBorder="1" applyAlignment="1">
      <alignment horizontal="left" wrapText="1"/>
    </xf>
    <xf numFmtId="0" fontId="64" fillId="5" borderId="13" xfId="1" applyFont="1" applyFill="1" applyBorder="1" applyAlignment="1">
      <alignment horizontal="center" vertical="center" wrapText="1"/>
    </xf>
    <xf numFmtId="0" fontId="64" fillId="0" borderId="0" xfId="1" applyFont="1" applyAlignment="1">
      <alignment horizontal="center" vertical="center" wrapText="1"/>
    </xf>
    <xf numFmtId="0" fontId="89" fillId="0" borderId="0" xfId="0" applyFont="1"/>
    <xf numFmtId="165" fontId="59" fillId="0" borderId="26" xfId="13" applyFont="1" applyBorder="1" applyAlignment="1">
      <alignment horizontal="center"/>
    </xf>
    <xf numFmtId="165" fontId="59" fillId="0" borderId="23" xfId="13" applyFont="1" applyBorder="1" applyAlignment="1">
      <alignment horizontal="center" wrapText="1"/>
    </xf>
    <xf numFmtId="4" fontId="59" fillId="0" borderId="43" xfId="26" applyFont="1" applyBorder="1" applyAlignment="1">
      <alignment horizontal="right" wrapText="1" shrinkToFit="1"/>
    </xf>
    <xf numFmtId="165" fontId="59" fillId="5" borderId="23" xfId="13" applyFont="1" applyFill="1" applyBorder="1" applyAlignment="1">
      <alignment horizontal="center" wrapText="1"/>
    </xf>
    <xf numFmtId="165" fontId="59" fillId="5" borderId="43" xfId="13" applyFont="1" applyFill="1" applyBorder="1" applyAlignment="1">
      <alignment horizontal="center" wrapText="1"/>
    </xf>
    <xf numFmtId="164" fontId="59" fillId="3" borderId="43" xfId="32" applyFont="1" applyFill="1" applyBorder="1" applyAlignment="1">
      <alignment horizontal="center" wrapText="1" shrinkToFit="1"/>
    </xf>
    <xf numFmtId="164" fontId="59" fillId="3" borderId="23" xfId="32" applyFont="1" applyFill="1" applyBorder="1" applyAlignment="1">
      <alignment horizontal="center" wrapText="1" shrinkToFit="1"/>
    </xf>
    <xf numFmtId="165" fontId="59" fillId="0" borderId="44" xfId="13" applyFont="1" applyBorder="1" applyAlignment="1">
      <alignment horizontal="center" wrapText="1" shrinkToFit="1"/>
    </xf>
    <xf numFmtId="165" fontId="59" fillId="0" borderId="44" xfId="13" applyFont="1" applyBorder="1" applyAlignment="1">
      <alignment horizontal="center"/>
    </xf>
    <xf numFmtId="165" fontId="59" fillId="5" borderId="43" xfId="13" applyFont="1" applyFill="1" applyBorder="1" applyAlignment="1">
      <alignment horizontal="center"/>
    </xf>
    <xf numFmtId="165" fontId="59" fillId="5" borderId="44" xfId="13" applyFont="1" applyFill="1" applyBorder="1" applyAlignment="1">
      <alignment horizontal="center"/>
    </xf>
    <xf numFmtId="165" fontId="59" fillId="5" borderId="16" xfId="13" applyFont="1" applyFill="1" applyBorder="1" applyAlignment="1">
      <alignment horizontal="center"/>
    </xf>
    <xf numFmtId="165" fontId="59" fillId="0" borderId="27" xfId="13" applyFont="1" applyBorder="1" applyAlignment="1">
      <alignment horizontal="center"/>
    </xf>
    <xf numFmtId="165" fontId="59" fillId="5" borderId="26" xfId="13" applyFont="1" applyFill="1" applyBorder="1" applyAlignment="1">
      <alignment horizontal="center"/>
    </xf>
    <xf numFmtId="165" fontId="59" fillId="5" borderId="28" xfId="13" applyFont="1" applyFill="1" applyBorder="1" applyAlignment="1">
      <alignment horizontal="center"/>
    </xf>
    <xf numFmtId="165" fontId="59" fillId="3" borderId="28" xfId="13" applyFont="1" applyFill="1" applyBorder="1" applyAlignment="1">
      <alignment horizontal="center"/>
    </xf>
    <xf numFmtId="165" fontId="59" fillId="0" borderId="25" xfId="13" applyFont="1" applyBorder="1" applyAlignment="1">
      <alignment horizontal="center"/>
    </xf>
    <xf numFmtId="165" fontId="59" fillId="5" borderId="42" xfId="13" applyFont="1" applyFill="1" applyBorder="1" applyAlignment="1">
      <alignment horizontal="center"/>
    </xf>
    <xf numFmtId="165" fontId="59" fillId="0" borderId="30" xfId="13" applyFont="1" applyBorder="1" applyAlignment="1">
      <alignment horizontal="center"/>
    </xf>
    <xf numFmtId="165" fontId="59" fillId="5" borderId="31" xfId="13" applyFont="1" applyFill="1" applyBorder="1" applyAlignment="1">
      <alignment horizontal="center"/>
    </xf>
    <xf numFmtId="165" fontId="59" fillId="0" borderId="14" xfId="13" applyFont="1" applyFill="1" applyBorder="1" applyAlignment="1">
      <alignment horizontal="center"/>
    </xf>
    <xf numFmtId="165" fontId="59" fillId="0" borderId="23" xfId="13" applyFont="1" applyFill="1" applyBorder="1" applyAlignment="1">
      <alignment horizontal="center"/>
    </xf>
    <xf numFmtId="165" fontId="59" fillId="0" borderId="32" xfId="13" applyFont="1" applyBorder="1" applyAlignment="1">
      <alignment horizontal="center" wrapText="1"/>
    </xf>
    <xf numFmtId="165" fontId="59" fillId="5" borderId="28" xfId="13" applyFont="1" applyFill="1" applyBorder="1" applyAlignment="1">
      <alignment horizontal="center" wrapText="1"/>
    </xf>
    <xf numFmtId="165" fontId="59" fillId="5" borderId="25" xfId="13" applyFont="1" applyFill="1" applyBorder="1" applyAlignment="1">
      <alignment horizontal="center" wrapText="1"/>
    </xf>
    <xf numFmtId="165" fontId="59" fillId="5" borderId="26" xfId="13" applyFont="1" applyFill="1" applyBorder="1" applyAlignment="1">
      <alignment horizontal="center" wrapText="1"/>
    </xf>
    <xf numFmtId="165" fontId="59" fillId="0" borderId="28" xfId="13" applyFont="1" applyBorder="1" applyAlignment="1">
      <alignment horizontal="center" wrapText="1" shrinkToFit="1"/>
    </xf>
    <xf numFmtId="165" fontId="59" fillId="4" borderId="25" xfId="13" applyFont="1" applyFill="1" applyBorder="1" applyAlignment="1">
      <alignment horizontal="center"/>
    </xf>
    <xf numFmtId="165" fontId="59" fillId="3" borderId="26" xfId="13" applyFont="1" applyFill="1" applyBorder="1" applyAlignment="1">
      <alignment horizontal="center" wrapText="1" shrinkToFit="1"/>
    </xf>
    <xf numFmtId="165" fontId="59" fillId="3" borderId="27" xfId="13" applyFont="1" applyFill="1" applyBorder="1" applyAlignment="1">
      <alignment horizontal="center" wrapText="1" shrinkToFit="1"/>
    </xf>
    <xf numFmtId="165" fontId="59" fillId="0" borderId="0" xfId="0" applyNumberFormat="1" applyFont="1"/>
    <xf numFmtId="4" fontId="59" fillId="0" borderId="30" xfId="26" applyFont="1" applyBorder="1" applyAlignment="1">
      <alignment horizontal="right" wrapText="1" shrinkToFit="1"/>
    </xf>
    <xf numFmtId="165" fontId="59" fillId="5" borderId="32" xfId="13" applyFont="1" applyFill="1" applyBorder="1" applyAlignment="1">
      <alignment horizontal="center" wrapText="1"/>
    </xf>
    <xf numFmtId="165" fontId="59" fillId="5" borderId="30" xfId="13" applyFont="1" applyFill="1" applyBorder="1" applyAlignment="1">
      <alignment horizontal="center" wrapText="1"/>
    </xf>
    <xf numFmtId="164" fontId="59" fillId="3" borderId="30" xfId="32" applyFont="1" applyFill="1" applyBorder="1" applyAlignment="1">
      <alignment horizontal="center" wrapText="1" shrinkToFit="1"/>
    </xf>
    <xf numFmtId="164" fontId="59" fillId="3" borderId="32" xfId="32" applyFont="1" applyFill="1" applyBorder="1" applyAlignment="1">
      <alignment horizontal="center" wrapText="1" shrinkToFit="1"/>
    </xf>
    <xf numFmtId="165" fontId="59" fillId="5" borderId="30" xfId="13" applyFont="1" applyFill="1" applyBorder="1" applyAlignment="1">
      <alignment horizontal="center"/>
    </xf>
    <xf numFmtId="165" fontId="59" fillId="0" borderId="33" xfId="13" applyFont="1" applyBorder="1" applyAlignment="1">
      <alignment horizontal="center"/>
    </xf>
    <xf numFmtId="165" fontId="59" fillId="0" borderId="32" xfId="13" applyFont="1" applyFill="1" applyBorder="1" applyAlignment="1">
      <alignment horizontal="center"/>
    </xf>
    <xf numFmtId="165" fontId="59" fillId="5" borderId="31" xfId="13" applyFont="1" applyFill="1" applyBorder="1" applyAlignment="1">
      <alignment horizontal="center" wrapText="1"/>
    </xf>
    <xf numFmtId="165" fontId="59" fillId="0" borderId="31" xfId="13" applyFont="1" applyBorder="1" applyAlignment="1">
      <alignment horizontal="center" wrapText="1" shrinkToFit="1"/>
    </xf>
    <xf numFmtId="165" fontId="59" fillId="5" borderId="39" xfId="13" applyFont="1" applyFill="1" applyBorder="1" applyAlignment="1">
      <alignment horizontal="center"/>
    </xf>
    <xf numFmtId="165" fontId="59" fillId="0" borderId="0" xfId="13" applyFont="1" applyBorder="1" applyAlignment="1">
      <alignment horizontal="center"/>
    </xf>
    <xf numFmtId="165" fontId="59" fillId="0" borderId="31" xfId="13" applyFont="1" applyFill="1" applyBorder="1" applyAlignment="1">
      <alignment horizontal="center"/>
    </xf>
    <xf numFmtId="165" fontId="59" fillId="0" borderId="41" xfId="13" applyFont="1" applyBorder="1" applyAlignment="1">
      <alignment horizontal="center"/>
    </xf>
    <xf numFmtId="165" fontId="59" fillId="5" borderId="41" xfId="13" applyFont="1" applyFill="1" applyBorder="1" applyAlignment="1">
      <alignment horizontal="center"/>
    </xf>
    <xf numFmtId="4" fontId="59" fillId="18" borderId="30" xfId="26" applyFont="1" applyFill="1" applyBorder="1" applyAlignment="1">
      <alignment horizontal="right" wrapText="1" shrinkToFit="1"/>
    </xf>
    <xf numFmtId="165" fontId="59" fillId="0" borderId="39" xfId="13" applyFont="1" applyBorder="1" applyAlignment="1">
      <alignment horizontal="center"/>
    </xf>
    <xf numFmtId="165" fontId="59" fillId="0" borderId="40" xfId="13" applyFont="1" applyBorder="1" applyAlignment="1">
      <alignment horizontal="center"/>
    </xf>
    <xf numFmtId="165" fontId="59" fillId="0" borderId="41" xfId="13" applyFont="1" applyFill="1" applyBorder="1" applyAlignment="1">
      <alignment horizontal="center"/>
    </xf>
    <xf numFmtId="165" fontId="59" fillId="0" borderId="38" xfId="13" applyFont="1" applyBorder="1" applyAlignment="1">
      <alignment horizontal="center"/>
    </xf>
    <xf numFmtId="165" fontId="59" fillId="11" borderId="31" xfId="13" applyFont="1" applyFill="1" applyBorder="1" applyAlignment="1">
      <alignment horizontal="center" wrapText="1"/>
    </xf>
    <xf numFmtId="165" fontId="59" fillId="11" borderId="30" xfId="13" applyFont="1" applyFill="1" applyBorder="1" applyAlignment="1">
      <alignment horizontal="center" wrapText="1"/>
    </xf>
    <xf numFmtId="165" fontId="59" fillId="11" borderId="31" xfId="13" applyFont="1" applyFill="1" applyBorder="1" applyAlignment="1">
      <alignment horizontal="center"/>
    </xf>
    <xf numFmtId="165" fontId="59" fillId="5" borderId="29" xfId="13" applyFont="1" applyFill="1" applyBorder="1" applyAlignment="1">
      <alignment horizontal="center"/>
    </xf>
    <xf numFmtId="165" fontId="59" fillId="0" borderId="29" xfId="13" applyFont="1" applyBorder="1" applyAlignment="1">
      <alignment horizontal="center"/>
    </xf>
    <xf numFmtId="165" fontId="59" fillId="0" borderId="42" xfId="13" applyFont="1" applyFill="1" applyBorder="1" applyAlignment="1">
      <alignment horizontal="center"/>
    </xf>
    <xf numFmtId="165" fontId="59" fillId="0" borderId="34" xfId="13" applyFont="1" applyBorder="1" applyAlignment="1">
      <alignment horizontal="center"/>
    </xf>
    <xf numFmtId="165" fontId="59" fillId="0" borderId="35" xfId="13" applyFont="1" applyBorder="1" applyAlignment="1">
      <alignment horizontal="center"/>
    </xf>
    <xf numFmtId="165" fontId="59" fillId="0" borderId="39" xfId="13" applyFont="1" applyBorder="1" applyAlignment="1">
      <alignment horizontal="center" wrapText="1"/>
    </xf>
    <xf numFmtId="4" fontId="59" fillId="0" borderId="38" xfId="26" applyFont="1" applyBorder="1" applyAlignment="1">
      <alignment horizontal="right" wrapText="1" shrinkToFit="1"/>
    </xf>
    <xf numFmtId="165" fontId="59" fillId="5" borderId="39" xfId="13" applyFont="1" applyFill="1" applyBorder="1" applyAlignment="1">
      <alignment horizontal="center" wrapText="1"/>
    </xf>
    <xf numFmtId="165" fontId="59" fillId="5" borderId="38" xfId="13" applyFont="1" applyFill="1" applyBorder="1" applyAlignment="1">
      <alignment horizontal="center" wrapText="1"/>
    </xf>
    <xf numFmtId="165" fontId="59" fillId="0" borderId="39" xfId="13" applyFont="1" applyBorder="1" applyAlignment="1">
      <alignment horizontal="center" wrapText="1" shrinkToFit="1"/>
    </xf>
    <xf numFmtId="165" fontId="59" fillId="0" borderId="40" xfId="13" applyFont="1" applyBorder="1" applyAlignment="1">
      <alignment horizontal="center" wrapText="1" shrinkToFit="1"/>
    </xf>
    <xf numFmtId="165" fontId="59" fillId="5" borderId="34" xfId="13" applyFont="1" applyFill="1" applyBorder="1" applyAlignment="1">
      <alignment horizontal="center"/>
    </xf>
    <xf numFmtId="165" fontId="59" fillId="0" borderId="36" xfId="13" applyFont="1" applyBorder="1" applyAlignment="1">
      <alignment horizontal="center"/>
    </xf>
    <xf numFmtId="165" fontId="59" fillId="5" borderId="35" xfId="13" applyFont="1" applyFill="1" applyBorder="1" applyAlignment="1">
      <alignment horizontal="center"/>
    </xf>
    <xf numFmtId="165" fontId="59" fillId="5" borderId="37" xfId="13" applyFont="1" applyFill="1" applyBorder="1" applyAlignment="1">
      <alignment horizontal="center"/>
    </xf>
    <xf numFmtId="165" fontId="59" fillId="5" borderId="15" xfId="13" applyFont="1" applyFill="1" applyBorder="1" applyAlignment="1">
      <alignment horizontal="center" wrapText="1"/>
    </xf>
    <xf numFmtId="165" fontId="59" fillId="3" borderId="38" xfId="13" applyFont="1" applyFill="1" applyBorder="1" applyAlignment="1">
      <alignment horizontal="center"/>
    </xf>
    <xf numFmtId="165" fontId="59" fillId="4" borderId="37" xfId="13" applyFont="1" applyFill="1" applyBorder="1" applyAlignment="1">
      <alignment horizontal="center"/>
    </xf>
    <xf numFmtId="165" fontId="59" fillId="9" borderId="34" xfId="13" applyFont="1" applyFill="1" applyBorder="1" applyAlignment="1">
      <alignment horizontal="center"/>
    </xf>
    <xf numFmtId="165" fontId="59" fillId="9" borderId="40" xfId="13" applyFont="1" applyFill="1" applyBorder="1" applyAlignment="1">
      <alignment horizontal="center"/>
    </xf>
    <xf numFmtId="165" fontId="59" fillId="9" borderId="39" xfId="13" applyFont="1" applyFill="1" applyBorder="1" applyAlignment="1">
      <alignment horizontal="center"/>
    </xf>
    <xf numFmtId="165" fontId="59" fillId="11" borderId="41" xfId="13" applyFont="1" applyFill="1" applyBorder="1" applyAlignment="1">
      <alignment horizontal="center" wrapText="1"/>
    </xf>
    <xf numFmtId="165" fontId="59" fillId="11" borderId="39" xfId="13" applyFont="1" applyFill="1" applyBorder="1" applyAlignment="1">
      <alignment horizontal="center" wrapText="1"/>
    </xf>
    <xf numFmtId="165" fontId="59" fillId="11" borderId="38" xfId="13" applyFont="1" applyFill="1" applyBorder="1" applyAlignment="1">
      <alignment horizontal="center" wrapText="1"/>
    </xf>
    <xf numFmtId="165" fontId="59" fillId="3" borderId="36" xfId="13" applyFont="1" applyFill="1" applyBorder="1" applyAlignment="1">
      <alignment horizontal="center"/>
    </xf>
    <xf numFmtId="165" fontId="59" fillId="0" borderId="37" xfId="13" applyFont="1" applyBorder="1" applyAlignment="1">
      <alignment horizontal="center" wrapText="1" shrinkToFit="1"/>
    </xf>
    <xf numFmtId="165" fontId="59" fillId="3" borderId="35" xfId="13" applyFont="1" applyFill="1" applyBorder="1" applyAlignment="1">
      <alignment horizontal="center" wrapText="1" shrinkToFit="1"/>
    </xf>
    <xf numFmtId="165" fontId="59" fillId="11" borderId="37" xfId="13" applyFont="1" applyFill="1" applyBorder="1" applyAlignment="1">
      <alignment horizontal="center"/>
    </xf>
    <xf numFmtId="165" fontId="59" fillId="9" borderId="30" xfId="13" applyFont="1" applyFill="1" applyBorder="1" applyAlignment="1">
      <alignment horizontal="center"/>
    </xf>
    <xf numFmtId="165" fontId="59" fillId="11" borderId="33" xfId="13" applyFont="1" applyFill="1" applyBorder="1" applyAlignment="1">
      <alignment horizontal="center" wrapText="1"/>
    </xf>
    <xf numFmtId="165" fontId="59" fillId="3" borderId="45" xfId="13" applyFont="1" applyFill="1" applyBorder="1" applyAlignment="1">
      <alignment horizontal="center"/>
    </xf>
    <xf numFmtId="165" fontId="59" fillId="0" borderId="34" xfId="13" applyFont="1" applyBorder="1" applyAlignment="1">
      <alignment horizontal="center" wrapText="1"/>
    </xf>
    <xf numFmtId="165" fontId="59" fillId="5" borderId="34" xfId="13" applyFont="1" applyFill="1" applyBorder="1" applyAlignment="1">
      <alignment horizontal="center" wrapText="1"/>
    </xf>
    <xf numFmtId="43" fontId="59" fillId="0" borderId="0" xfId="0" applyNumberFormat="1" applyFont="1" applyAlignment="1">
      <alignment vertical="center"/>
    </xf>
    <xf numFmtId="164" fontId="32" fillId="2" borderId="5" xfId="4" applyFont="1" applyFill="1" applyBorder="1" applyAlignment="1">
      <alignment horizontal="right" vertical="center" shrinkToFit="1"/>
    </xf>
    <xf numFmtId="43" fontId="59" fillId="0" borderId="0" xfId="0" applyNumberFormat="1" applyFont="1"/>
    <xf numFmtId="43" fontId="58" fillId="0" borderId="2" xfId="0" applyNumberFormat="1" applyFont="1" applyBorder="1"/>
    <xf numFmtId="43" fontId="58" fillId="4" borderId="2" xfId="0" applyNumberFormat="1" applyFont="1" applyFill="1" applyBorder="1"/>
    <xf numFmtId="165" fontId="58" fillId="0" borderId="2" xfId="0" applyNumberFormat="1" applyFont="1" applyBorder="1"/>
    <xf numFmtId="165" fontId="58" fillId="0" borderId="0" xfId="0" applyNumberFormat="1" applyFont="1"/>
    <xf numFmtId="165" fontId="59" fillId="0" borderId="0" xfId="13" applyFont="1" applyAlignment="1">
      <alignment vertical="center" wrapText="1"/>
    </xf>
    <xf numFmtId="165" fontId="59" fillId="0" borderId="0" xfId="13" applyFont="1" applyAlignment="1">
      <alignment horizontal="right" vertical="center" wrapText="1" shrinkToFit="1"/>
    </xf>
    <xf numFmtId="4" fontId="90" fillId="0" borderId="0" xfId="17" applyNumberFormat="1" applyFont="1" applyAlignment="1">
      <alignment horizontal="right" vertical="top" shrinkToFit="1"/>
    </xf>
    <xf numFmtId="4" fontId="91" fillId="19" borderId="49" xfId="24" applyFont="1" applyProtection="1">
      <alignment horizontal="right" vertical="top" shrinkToFit="1"/>
      <protection locked="0"/>
    </xf>
    <xf numFmtId="4" fontId="90" fillId="0" borderId="49" xfId="23" applyNumberFormat="1" applyFont="1" applyBorder="1" applyAlignment="1">
      <alignment horizontal="right" vertical="top" shrinkToFit="1"/>
    </xf>
    <xf numFmtId="4" fontId="59" fillId="0" borderId="2" xfId="28" applyFont="1" applyBorder="1">
      <alignment horizontal="right" vertical="top" shrinkToFit="1"/>
    </xf>
    <xf numFmtId="4" fontId="92" fillId="0" borderId="65" xfId="17" applyNumberFormat="1" applyFont="1" applyBorder="1" applyAlignment="1">
      <alignment horizontal="right" vertical="top" shrinkToFit="1"/>
    </xf>
    <xf numFmtId="4" fontId="36" fillId="2" borderId="5" xfId="8" applyFont="1">
      <alignment horizontal="right" vertical="top" shrinkToFit="1"/>
    </xf>
    <xf numFmtId="164" fontId="36" fillId="2" borderId="5" xfId="4" applyFont="1" applyFill="1" applyBorder="1" applyAlignment="1">
      <alignment horizontal="right" vertical="center" shrinkToFit="1"/>
    </xf>
    <xf numFmtId="4" fontId="59" fillId="0" borderId="0" xfId="28" applyFont="1" applyBorder="1">
      <alignment horizontal="right" vertical="top" shrinkToFit="1"/>
    </xf>
    <xf numFmtId="165" fontId="59" fillId="0" borderId="0" xfId="13" applyFont="1" applyAlignment="1">
      <alignment horizontal="right" vertical="top" shrinkToFit="1"/>
    </xf>
    <xf numFmtId="4" fontId="59" fillId="0" borderId="9" xfId="28" applyFont="1" applyBorder="1">
      <alignment horizontal="right" vertical="top" shrinkToFit="1"/>
    </xf>
    <xf numFmtId="4" fontId="36" fillId="0" borderId="5" xfId="8" applyFont="1" applyFill="1">
      <alignment horizontal="right" vertical="top" shrinkToFit="1"/>
    </xf>
    <xf numFmtId="4" fontId="93" fillId="0" borderId="64" xfId="17" applyNumberFormat="1" applyFont="1" applyFill="1" applyBorder="1" applyAlignment="1">
      <alignment horizontal="right" vertical="top" shrinkToFit="1"/>
    </xf>
    <xf numFmtId="165" fontId="29" fillId="0" borderId="5" xfId="13" applyFont="1" applyFill="1" applyBorder="1" applyAlignment="1">
      <alignment horizontal="right" vertical="center" shrinkToFit="1"/>
    </xf>
    <xf numFmtId="4" fontId="93" fillId="0" borderId="64" xfId="17" applyNumberFormat="1" applyFont="1" applyBorder="1" applyAlignment="1">
      <alignment horizontal="right" vertical="top" shrinkToFit="1"/>
    </xf>
    <xf numFmtId="165" fontId="29" fillId="0" borderId="0" xfId="13" applyFont="1" applyFill="1" applyBorder="1" applyAlignment="1">
      <alignment horizontal="right" vertical="center" shrinkToFit="1"/>
    </xf>
    <xf numFmtId="4" fontId="90" fillId="0" borderId="0" xfId="17" applyNumberFormat="1" applyFont="1" applyFill="1" applyAlignment="1">
      <alignment horizontal="right" vertical="top" shrinkToFit="1"/>
    </xf>
    <xf numFmtId="164" fontId="94" fillId="0" borderId="5" xfId="4" applyFont="1" applyBorder="1" applyAlignment="1">
      <alignment horizontal="right" vertical="center" shrinkToFit="1"/>
    </xf>
    <xf numFmtId="165" fontId="29" fillId="0" borderId="0" xfId="13" applyFont="1" applyFill="1" applyAlignment="1">
      <alignment horizontal="right" vertical="center" shrinkToFit="1"/>
    </xf>
    <xf numFmtId="4" fontId="59" fillId="0" borderId="0" xfId="28" applyFont="1" applyFill="1" applyBorder="1">
      <alignment horizontal="right" vertical="top" shrinkToFit="1"/>
    </xf>
    <xf numFmtId="4" fontId="95" fillId="0" borderId="2" xfId="28" applyFont="1" applyBorder="1">
      <alignment horizontal="right" vertical="top" shrinkToFit="1"/>
    </xf>
    <xf numFmtId="4" fontId="92" fillId="0" borderId="64" xfId="17" applyNumberFormat="1" applyFont="1" applyBorder="1" applyAlignment="1">
      <alignment horizontal="right" vertical="top" shrinkToFit="1"/>
    </xf>
    <xf numFmtId="4" fontId="67" fillId="0" borderId="5" xfId="12" applyFont="1">
      <alignment horizontal="right" vertical="top" shrinkToFit="1"/>
    </xf>
    <xf numFmtId="165" fontId="29" fillId="2" borderId="5" xfId="13" applyFont="1" applyFill="1" applyBorder="1" applyAlignment="1">
      <alignment horizontal="right" vertical="center" shrinkToFit="1"/>
    </xf>
    <xf numFmtId="165" fontId="29" fillId="2" borderId="0" xfId="13" applyFont="1" applyFill="1" applyAlignment="1">
      <alignment horizontal="right" vertical="center" shrinkToFit="1"/>
    </xf>
    <xf numFmtId="4" fontId="93" fillId="0" borderId="65" xfId="17" applyNumberFormat="1" applyFont="1" applyBorder="1" applyAlignment="1">
      <alignment horizontal="right" vertical="top" shrinkToFit="1"/>
    </xf>
    <xf numFmtId="4" fontId="96" fillId="0" borderId="65" xfId="17" applyNumberFormat="1" applyFont="1" applyBorder="1" applyAlignment="1">
      <alignment horizontal="right" vertical="top" shrinkToFit="1"/>
    </xf>
    <xf numFmtId="4" fontId="32" fillId="2" borderId="5" xfId="8" applyFont="1">
      <alignment horizontal="right" vertical="top" shrinkToFit="1"/>
    </xf>
    <xf numFmtId="165" fontId="32" fillId="0" borderId="0" xfId="13" applyFont="1" applyAlignment="1">
      <alignment horizontal="right" vertical="center" shrinkToFit="1"/>
    </xf>
    <xf numFmtId="4" fontId="97" fillId="0" borderId="0" xfId="17" applyNumberFormat="1" applyFont="1" applyAlignment="1">
      <alignment horizontal="right" vertical="top" shrinkToFit="1"/>
    </xf>
    <xf numFmtId="4" fontId="93" fillId="0" borderId="0" xfId="23" applyNumberFormat="1" applyFont="1" applyAlignment="1">
      <alignment horizontal="right" vertical="top" shrinkToFit="1"/>
    </xf>
    <xf numFmtId="4" fontId="92" fillId="0" borderId="0" xfId="17" applyNumberFormat="1" applyFont="1" applyAlignment="1">
      <alignment horizontal="right" vertical="top" shrinkToFit="1"/>
    </xf>
    <xf numFmtId="4" fontId="29" fillId="0" borderId="0" xfId="28" applyFont="1" applyBorder="1">
      <alignment horizontal="right" vertical="top" shrinkToFit="1"/>
    </xf>
    <xf numFmtId="4" fontId="72" fillId="0" borderId="0" xfId="28" applyFont="1" applyBorder="1">
      <alignment horizontal="right" vertical="top" shrinkToFit="1"/>
    </xf>
    <xf numFmtId="165" fontId="32" fillId="2" borderId="5" xfId="13" applyFont="1" applyFill="1" applyBorder="1" applyAlignment="1">
      <alignment horizontal="right" vertical="top" shrinkToFit="1"/>
    </xf>
    <xf numFmtId="4" fontId="92" fillId="0" borderId="49" xfId="17" applyNumberFormat="1" applyFont="1" applyBorder="1" applyAlignment="1">
      <alignment horizontal="right" vertical="top" shrinkToFit="1"/>
    </xf>
    <xf numFmtId="4" fontId="59" fillId="0" borderId="49" xfId="17" applyNumberFormat="1" applyFont="1" applyBorder="1" applyAlignment="1">
      <alignment horizontal="right" shrinkToFit="1"/>
    </xf>
    <xf numFmtId="165" fontId="59" fillId="0" borderId="2" xfId="13" applyFont="1" applyBorder="1" applyAlignment="1">
      <alignment vertical="center"/>
    </xf>
    <xf numFmtId="165" fontId="59" fillId="0" borderId="2" xfId="13" applyFont="1" applyBorder="1" applyAlignment="1">
      <alignment horizontal="center" vertical="center"/>
    </xf>
    <xf numFmtId="165" fontId="59" fillId="0" borderId="2" xfId="0" applyNumberFormat="1" applyFont="1" applyBorder="1" applyAlignment="1">
      <alignment horizontal="center" vertical="center"/>
    </xf>
    <xf numFmtId="164" fontId="59" fillId="0" borderId="0" xfId="32" applyFont="1" applyAlignment="1">
      <alignment horizontal="center" vertical="center"/>
    </xf>
    <xf numFmtId="165" fontId="59" fillId="0" borderId="2" xfId="0" applyNumberFormat="1" applyFont="1" applyBorder="1" applyAlignment="1">
      <alignment vertical="center"/>
    </xf>
    <xf numFmtId="0" fontId="59" fillId="0" borderId="2" xfId="0" applyFont="1" applyBorder="1" applyAlignment="1">
      <alignment vertical="center"/>
    </xf>
    <xf numFmtId="164" fontId="59" fillId="0" borderId="0" xfId="32" applyFont="1" applyAlignment="1">
      <alignment vertical="center"/>
    </xf>
    <xf numFmtId="164" fontId="89" fillId="0" borderId="0" xfId="32" applyFont="1"/>
    <xf numFmtId="0" fontId="1" fillId="0" borderId="0" xfId="1" applyFont="1"/>
    <xf numFmtId="0" fontId="1" fillId="0" borderId="50" xfId="1" applyFont="1" applyBorder="1"/>
    <xf numFmtId="165" fontId="64" fillId="0" borderId="25" xfId="1" applyNumberFormat="1" applyFont="1" applyBorder="1"/>
    <xf numFmtId="165" fontId="64" fillId="0" borderId="26" xfId="1" applyNumberFormat="1" applyFont="1" applyBorder="1"/>
    <xf numFmtId="165" fontId="64" fillId="0" borderId="28" xfId="1" applyNumberFormat="1" applyFont="1" applyBorder="1"/>
    <xf numFmtId="165" fontId="64" fillId="0" borderId="27" xfId="1" applyNumberFormat="1" applyFont="1" applyBorder="1"/>
    <xf numFmtId="165" fontId="64" fillId="0" borderId="26" xfId="13" applyFont="1" applyBorder="1" applyAlignment="1">
      <alignment horizontal="center"/>
    </xf>
    <xf numFmtId="165" fontId="64" fillId="0" borderId="25" xfId="13" applyFont="1" applyBorder="1" applyAlignment="1">
      <alignment horizontal="center"/>
    </xf>
    <xf numFmtId="165" fontId="64" fillId="0" borderId="28" xfId="13" applyFont="1" applyBorder="1" applyAlignment="1">
      <alignment horizontal="center"/>
    </xf>
    <xf numFmtId="165" fontId="64" fillId="0" borderId="30" xfId="13" applyFont="1" applyBorder="1" applyAlignment="1">
      <alignment horizontal="center"/>
    </xf>
    <xf numFmtId="165" fontId="64" fillId="4" borderId="27" xfId="13" applyFont="1" applyFill="1" applyBorder="1" applyAlignment="1">
      <alignment horizontal="center"/>
    </xf>
    <xf numFmtId="165" fontId="64" fillId="5" borderId="42" xfId="13" applyFont="1" applyFill="1" applyBorder="1" applyAlignment="1">
      <alignment horizontal="center"/>
    </xf>
    <xf numFmtId="165" fontId="64" fillId="5" borderId="23" xfId="13" applyFont="1" applyFill="1" applyBorder="1" applyAlignment="1">
      <alignment horizontal="center"/>
    </xf>
    <xf numFmtId="165" fontId="64" fillId="5" borderId="43" xfId="13" applyFont="1" applyFill="1" applyBorder="1" applyAlignment="1">
      <alignment horizontal="center"/>
    </xf>
    <xf numFmtId="165" fontId="64" fillId="5" borderId="44" xfId="13" applyFont="1" applyFill="1" applyBorder="1" applyAlignment="1">
      <alignment horizontal="center"/>
    </xf>
    <xf numFmtId="165" fontId="64" fillId="5" borderId="23" xfId="1" applyNumberFormat="1" applyFont="1" applyFill="1" applyBorder="1"/>
    <xf numFmtId="165" fontId="64" fillId="4" borderId="44" xfId="13" applyFont="1" applyFill="1" applyBorder="1" applyAlignment="1">
      <alignment horizontal="center"/>
    </xf>
    <xf numFmtId="165" fontId="64" fillId="0" borderId="27" xfId="13" applyFont="1" applyBorder="1" applyAlignment="1">
      <alignment horizontal="center"/>
    </xf>
    <xf numFmtId="165" fontId="64" fillId="0" borderId="51" xfId="13" applyFont="1" applyBorder="1" applyAlignment="1">
      <alignment horizontal="center"/>
    </xf>
    <xf numFmtId="165" fontId="64" fillId="4" borderId="52" xfId="1" applyNumberFormat="1" applyFont="1" applyFill="1" applyBorder="1"/>
    <xf numFmtId="165" fontId="64" fillId="5" borderId="53" xfId="13" applyFont="1" applyFill="1" applyBorder="1" applyAlignment="1">
      <alignment horizontal="center"/>
    </xf>
    <xf numFmtId="165" fontId="64" fillId="5" borderId="54" xfId="13" applyFont="1" applyFill="1" applyBorder="1" applyAlignment="1">
      <alignment horizontal="center"/>
    </xf>
    <xf numFmtId="165" fontId="64" fillId="11" borderId="43" xfId="13" applyFont="1" applyFill="1" applyBorder="1" applyAlignment="1">
      <alignment horizontal="center"/>
    </xf>
    <xf numFmtId="165" fontId="64" fillId="11" borderId="23" xfId="1" applyNumberFormat="1" applyFont="1" applyFill="1" applyBorder="1"/>
    <xf numFmtId="171" fontId="2" fillId="23" borderId="2" xfId="1" applyNumberFormat="1" applyFont="1" applyFill="1" applyBorder="1"/>
    <xf numFmtId="165" fontId="64" fillId="0" borderId="32" xfId="1" applyNumberFormat="1" applyFont="1" applyBorder="1"/>
    <xf numFmtId="165" fontId="64" fillId="0" borderId="30" xfId="1" applyNumberFormat="1" applyFont="1" applyBorder="1"/>
    <xf numFmtId="165" fontId="64" fillId="0" borderId="31" xfId="1" applyNumberFormat="1" applyFont="1" applyBorder="1"/>
    <xf numFmtId="165" fontId="64" fillId="0" borderId="33" xfId="1" applyNumberFormat="1" applyFont="1" applyBorder="1"/>
    <xf numFmtId="165" fontId="64" fillId="0" borderId="32" xfId="13" applyFont="1" applyBorder="1" applyAlignment="1">
      <alignment horizontal="center"/>
    </xf>
    <xf numFmtId="165" fontId="64" fillId="0" borderId="31" xfId="13" applyFont="1" applyBorder="1" applyAlignment="1">
      <alignment horizontal="center"/>
    </xf>
    <xf numFmtId="165" fontId="64" fillId="0" borderId="33" xfId="13" applyFont="1" applyBorder="1" applyAlignment="1">
      <alignment horizontal="center"/>
    </xf>
    <xf numFmtId="165" fontId="64" fillId="5" borderId="31" xfId="13" applyFont="1" applyFill="1" applyBorder="1" applyAlignment="1">
      <alignment horizontal="center"/>
    </xf>
    <xf numFmtId="165" fontId="64" fillId="5" borderId="32" xfId="13" applyFont="1" applyFill="1" applyBorder="1" applyAlignment="1">
      <alignment horizontal="center"/>
    </xf>
    <xf numFmtId="165" fontId="64" fillId="5" borderId="30" xfId="13" applyFont="1" applyFill="1" applyBorder="1" applyAlignment="1">
      <alignment horizontal="center"/>
    </xf>
    <xf numFmtId="165" fontId="64" fillId="5" borderId="33" xfId="13" applyFont="1" applyFill="1" applyBorder="1" applyAlignment="1">
      <alignment horizontal="center"/>
    </xf>
    <xf numFmtId="165" fontId="64" fillId="5" borderId="32" xfId="1" applyNumberFormat="1" applyFont="1" applyFill="1" applyBorder="1"/>
    <xf numFmtId="165" fontId="64" fillId="11" borderId="33" xfId="13" applyFont="1" applyFill="1" applyBorder="1" applyAlignment="1">
      <alignment horizontal="center"/>
    </xf>
    <xf numFmtId="165" fontId="64" fillId="0" borderId="46" xfId="13" applyFont="1" applyBorder="1" applyAlignment="1">
      <alignment horizontal="center"/>
    </xf>
    <xf numFmtId="165" fontId="64" fillId="0" borderId="45" xfId="1" applyNumberFormat="1" applyFont="1" applyBorder="1"/>
    <xf numFmtId="165" fontId="64" fillId="5" borderId="46" xfId="13" applyFont="1" applyFill="1" applyBorder="1" applyAlignment="1">
      <alignment horizontal="center"/>
    </xf>
    <xf numFmtId="165" fontId="64" fillId="5" borderId="45" xfId="13" applyFont="1" applyFill="1" applyBorder="1" applyAlignment="1">
      <alignment horizontal="center"/>
    </xf>
    <xf numFmtId="165" fontId="64" fillId="11" borderId="30" xfId="13" applyFont="1" applyFill="1" applyBorder="1" applyAlignment="1">
      <alignment horizontal="center"/>
    </xf>
    <xf numFmtId="165" fontId="64" fillId="11" borderId="32" xfId="1" applyNumberFormat="1" applyFont="1" applyFill="1" applyBorder="1"/>
    <xf numFmtId="165" fontId="64" fillId="4" borderId="33" xfId="13" applyFont="1" applyFill="1" applyBorder="1" applyAlignment="1">
      <alignment horizontal="center"/>
    </xf>
    <xf numFmtId="165" fontId="64" fillId="4" borderId="45" xfId="1" applyNumberFormat="1" applyFont="1" applyFill="1" applyBorder="1"/>
    <xf numFmtId="165" fontId="64" fillId="11" borderId="31" xfId="13" applyFont="1" applyFill="1" applyBorder="1" applyAlignment="1">
      <alignment horizontal="center"/>
    </xf>
    <xf numFmtId="165" fontId="64" fillId="11" borderId="32" xfId="13" applyFont="1" applyFill="1" applyBorder="1" applyAlignment="1">
      <alignment horizontal="center"/>
    </xf>
    <xf numFmtId="165" fontId="64" fillId="0" borderId="34" xfId="1" applyNumberFormat="1" applyFont="1" applyBorder="1"/>
    <xf numFmtId="165" fontId="64" fillId="0" borderId="35" xfId="1" applyNumberFormat="1" applyFont="1" applyBorder="1"/>
    <xf numFmtId="165" fontId="64" fillId="0" borderId="37" xfId="1" applyNumberFormat="1" applyFont="1" applyBorder="1"/>
    <xf numFmtId="165" fontId="64" fillId="0" borderId="36" xfId="1" applyNumberFormat="1" applyFont="1" applyBorder="1"/>
    <xf numFmtId="165" fontId="64" fillId="0" borderId="35" xfId="13" applyFont="1" applyBorder="1" applyAlignment="1">
      <alignment horizontal="center"/>
    </xf>
    <xf numFmtId="165" fontId="64" fillId="0" borderId="34" xfId="13" applyFont="1" applyBorder="1" applyAlignment="1">
      <alignment horizontal="center"/>
    </xf>
    <xf numFmtId="165" fontId="64" fillId="0" borderId="37" xfId="13" applyFont="1" applyBorder="1" applyAlignment="1">
      <alignment horizontal="center"/>
    </xf>
    <xf numFmtId="165" fontId="64" fillId="0" borderId="36" xfId="13" applyFont="1" applyBorder="1" applyAlignment="1">
      <alignment horizontal="center"/>
    </xf>
    <xf numFmtId="165" fontId="64" fillId="11" borderId="37" xfId="13" applyFont="1" applyFill="1" applyBorder="1" applyAlignment="1">
      <alignment horizontal="center"/>
    </xf>
    <xf numFmtId="165" fontId="64" fillId="11" borderId="34" xfId="13" applyFont="1" applyFill="1" applyBorder="1" applyAlignment="1">
      <alignment horizontal="center"/>
    </xf>
    <xf numFmtId="165" fontId="64" fillId="11" borderId="35" xfId="13" applyFont="1" applyFill="1" applyBorder="1" applyAlignment="1">
      <alignment horizontal="center"/>
    </xf>
    <xf numFmtId="165" fontId="64" fillId="11" borderId="36" xfId="13" applyFont="1" applyFill="1" applyBorder="1" applyAlignment="1">
      <alignment horizontal="center"/>
    </xf>
    <xf numFmtId="165" fontId="64" fillId="11" borderId="34" xfId="1" applyNumberFormat="1" applyFont="1" applyFill="1" applyBorder="1"/>
    <xf numFmtId="165" fontId="64" fillId="0" borderId="55" xfId="13" applyFont="1" applyBorder="1" applyAlignment="1">
      <alignment horizontal="center"/>
    </xf>
    <xf numFmtId="165" fontId="64" fillId="0" borderId="56" xfId="1" applyNumberFormat="1" applyFont="1" applyBorder="1"/>
    <xf numFmtId="165" fontId="64" fillId="5" borderId="34" xfId="13" applyFont="1" applyFill="1" applyBorder="1" applyAlignment="1">
      <alignment horizontal="center"/>
    </xf>
    <xf numFmtId="165" fontId="64" fillId="5" borderId="35" xfId="13" applyFont="1" applyFill="1" applyBorder="1" applyAlignment="1">
      <alignment horizontal="center"/>
    </xf>
    <xf numFmtId="165" fontId="64" fillId="5" borderId="55" xfId="13" applyFont="1" applyFill="1" applyBorder="1" applyAlignment="1">
      <alignment horizontal="center"/>
    </xf>
    <xf numFmtId="165" fontId="64" fillId="5" borderId="56" xfId="13" applyFont="1" applyFill="1" applyBorder="1" applyAlignment="1">
      <alignment horizontal="center"/>
    </xf>
    <xf numFmtId="0" fontId="1" fillId="18" borderId="11" xfId="1" applyFont="1" applyFill="1" applyBorder="1"/>
    <xf numFmtId="165" fontId="2" fillId="18" borderId="12" xfId="1" applyNumberFormat="1" applyFont="1" applyFill="1" applyBorder="1" applyAlignment="1"/>
    <xf numFmtId="0" fontId="2" fillId="18" borderId="13" xfId="1" applyFont="1" applyFill="1" applyBorder="1" applyAlignment="1"/>
    <xf numFmtId="165" fontId="35" fillId="0" borderId="0" xfId="1" applyNumberFormat="1" applyFont="1"/>
    <xf numFmtId="165" fontId="2" fillId="0" borderId="0" xfId="13" applyFont="1"/>
    <xf numFmtId="165" fontId="1" fillId="0" borderId="0" xfId="1" applyNumberFormat="1" applyFont="1"/>
    <xf numFmtId="43" fontId="1" fillId="0" borderId="0" xfId="1" applyNumberFormat="1" applyFont="1"/>
    <xf numFmtId="43" fontId="2" fillId="0" borderId="2" xfId="1" applyNumberFormat="1" applyFont="1" applyBorder="1"/>
    <xf numFmtId="43" fontId="2" fillId="4" borderId="2" xfId="1" applyNumberFormat="1" applyFont="1" applyFill="1" applyBorder="1"/>
    <xf numFmtId="165" fontId="2" fillId="0" borderId="2" xfId="1" applyNumberFormat="1" applyFont="1" applyBorder="1"/>
    <xf numFmtId="0" fontId="1" fillId="0" borderId="30" xfId="1" applyFont="1" applyBorder="1"/>
    <xf numFmtId="165" fontId="2" fillId="0" borderId="30" xfId="1" applyNumberFormat="1" applyFont="1" applyBorder="1"/>
    <xf numFmtId="0" fontId="1" fillId="0" borderId="38" xfId="1" applyFont="1" applyBorder="1"/>
    <xf numFmtId="165" fontId="2" fillId="0" borderId="38" xfId="1" applyNumberFormat="1" applyFont="1" applyBorder="1"/>
    <xf numFmtId="165" fontId="2" fillId="0" borderId="43" xfId="1" applyNumberFormat="1" applyFont="1" applyBorder="1"/>
    <xf numFmtId="0" fontId="1" fillId="0" borderId="43" xfId="1" applyFont="1" applyBorder="1"/>
    <xf numFmtId="165" fontId="66" fillId="0" borderId="0" xfId="1" applyNumberFormat="1" applyFont="1"/>
    <xf numFmtId="0" fontId="1" fillId="0" borderId="0" xfId="1" applyFont="1" applyAlignment="1">
      <alignment horizontal="center" vertical="center" wrapText="1"/>
    </xf>
    <xf numFmtId="165" fontId="35" fillId="0" borderId="0" xfId="1" applyNumberFormat="1" applyFont="1" applyAlignment="1">
      <alignment horizontal="center" vertical="center" wrapText="1"/>
    </xf>
    <xf numFmtId="168" fontId="29" fillId="3" borderId="2" xfId="1" applyNumberFormat="1" applyFont="1" applyFill="1" applyBorder="1"/>
    <xf numFmtId="168" fontId="29" fillId="0" borderId="2" xfId="13" applyNumberFormat="1" applyFont="1" applyBorder="1"/>
    <xf numFmtId="168" fontId="1" fillId="0" borderId="0" xfId="1" applyNumberFormat="1" applyFont="1"/>
    <xf numFmtId="168" fontId="29" fillId="0" borderId="2" xfId="1" applyNumberFormat="1" applyFont="1" applyBorder="1"/>
    <xf numFmtId="168" fontId="9" fillId="3" borderId="0" xfId="1" applyNumberFormat="1" applyFont="1" applyFill="1"/>
    <xf numFmtId="168" fontId="9" fillId="4" borderId="0" xfId="1" applyNumberFormat="1" applyFont="1" applyFill="1"/>
    <xf numFmtId="0" fontId="59" fillId="0" borderId="11"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24" xfId="0" applyFont="1" applyBorder="1" applyAlignment="1">
      <alignment horizontal="center" vertical="center" wrapText="1"/>
    </xf>
    <xf numFmtId="0" fontId="59" fillId="0" borderId="29"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20" xfId="0" applyFont="1" applyBorder="1" applyAlignment="1">
      <alignment horizontal="center" vertical="center" wrapText="1"/>
    </xf>
    <xf numFmtId="49" fontId="59" fillId="0" borderId="14" xfId="0" applyNumberFormat="1" applyFont="1" applyBorder="1" applyAlignment="1">
      <alignment horizontal="center" vertical="center" wrapText="1"/>
    </xf>
    <xf numFmtId="49" fontId="59" fillId="0" borderId="16" xfId="0" applyNumberFormat="1" applyFont="1" applyBorder="1" applyAlignment="1">
      <alignment horizontal="center" vertical="center" wrapText="1"/>
    </xf>
    <xf numFmtId="49" fontId="59" fillId="0" borderId="17" xfId="0" applyNumberFormat="1" applyFont="1" applyBorder="1" applyAlignment="1">
      <alignment horizontal="center" vertical="center" wrapText="1"/>
    </xf>
    <xf numFmtId="49" fontId="59" fillId="0" borderId="24" xfId="0" applyNumberFormat="1" applyFont="1" applyBorder="1" applyAlignment="1">
      <alignment horizontal="center" vertical="center" wrapText="1"/>
    </xf>
    <xf numFmtId="49" fontId="59" fillId="0" borderId="0" xfId="0" applyNumberFormat="1" applyFont="1" applyBorder="1" applyAlignment="1">
      <alignment horizontal="center" vertical="center" wrapText="1"/>
    </xf>
    <xf numFmtId="49" fontId="59" fillId="0" borderId="0" xfId="0" applyNumberFormat="1" applyFont="1" applyAlignment="1">
      <alignment horizontal="center" vertical="center" wrapText="1"/>
    </xf>
    <xf numFmtId="49" fontId="59" fillId="0" borderId="29" xfId="0" applyNumberFormat="1" applyFont="1" applyBorder="1" applyAlignment="1">
      <alignment horizontal="center" vertical="center" wrapText="1"/>
    </xf>
    <xf numFmtId="49" fontId="59" fillId="0" borderId="18" xfId="0" applyNumberFormat="1" applyFont="1" applyBorder="1" applyAlignment="1">
      <alignment horizontal="center" vertical="center" wrapText="1"/>
    </xf>
    <xf numFmtId="49" fontId="59" fillId="0" borderId="19" xfId="0" applyNumberFormat="1" applyFont="1" applyBorder="1" applyAlignment="1">
      <alignment horizontal="center" vertical="center" wrapText="1"/>
    </xf>
    <xf numFmtId="49" fontId="59" fillId="0" borderId="20" xfId="0" applyNumberFormat="1" applyFont="1" applyBorder="1" applyAlignment="1">
      <alignment horizontal="center" vertical="center" wrapText="1"/>
    </xf>
    <xf numFmtId="2" fontId="59" fillId="11" borderId="11" xfId="0" applyNumberFormat="1" applyFont="1" applyFill="1" applyBorder="1" applyAlignment="1">
      <alignment horizontal="center" vertical="center" wrapText="1"/>
    </xf>
    <xf numFmtId="2" fontId="59" fillId="11" borderId="12" xfId="0" applyNumberFormat="1" applyFont="1" applyFill="1" applyBorder="1" applyAlignment="1">
      <alignment horizontal="center" vertical="center" wrapText="1"/>
    </xf>
    <xf numFmtId="2" fontId="59" fillId="11" borderId="13" xfId="0" applyNumberFormat="1" applyFont="1" applyFill="1" applyBorder="1" applyAlignment="1">
      <alignment horizontal="center" vertical="center" wrapText="1"/>
    </xf>
    <xf numFmtId="0" fontId="59" fillId="3" borderId="14" xfId="0" applyFont="1" applyFill="1" applyBorder="1" applyAlignment="1">
      <alignment horizontal="center" vertical="center" wrapText="1"/>
    </xf>
    <xf numFmtId="0" fontId="59" fillId="3" borderId="16" xfId="0" applyFont="1" applyFill="1" applyBorder="1" applyAlignment="1">
      <alignment horizontal="center" vertical="center" wrapText="1"/>
    </xf>
    <xf numFmtId="0" fontId="59" fillId="3" borderId="24" xfId="0" applyFont="1" applyFill="1" applyBorder="1" applyAlignment="1">
      <alignment horizontal="center" vertical="center" wrapText="1"/>
    </xf>
    <xf numFmtId="0" fontId="59" fillId="3" borderId="0" xfId="0" applyFont="1" applyFill="1" applyAlignment="1">
      <alignment horizontal="center" vertical="center" wrapText="1"/>
    </xf>
    <xf numFmtId="0" fontId="59" fillId="3" borderId="18" xfId="0" applyFont="1" applyFill="1" applyBorder="1" applyAlignment="1">
      <alignment horizontal="center" vertical="center" wrapText="1"/>
    </xf>
    <xf numFmtId="0" fontId="59" fillId="3" borderId="19" xfId="0" applyFont="1" applyFill="1" applyBorder="1" applyAlignment="1">
      <alignment horizontal="center" vertical="center" wrapText="1"/>
    </xf>
    <xf numFmtId="0" fontId="59" fillId="3" borderId="11" xfId="0" applyFont="1" applyFill="1" applyBorder="1" applyAlignment="1">
      <alignment horizontal="center" vertical="center" wrapText="1"/>
    </xf>
    <xf numFmtId="0" fontId="59" fillId="3" borderId="12" xfId="0" applyFont="1" applyFill="1" applyBorder="1" applyAlignment="1">
      <alignment horizontal="center" vertical="center" wrapText="1"/>
    </xf>
    <xf numFmtId="0" fontId="59" fillId="11" borderId="11" xfId="0" applyFont="1" applyFill="1" applyBorder="1" applyAlignment="1">
      <alignment horizontal="center" vertical="center" wrapText="1"/>
    </xf>
    <xf numFmtId="0" fontId="59" fillId="11" borderId="12" xfId="0" applyFont="1" applyFill="1" applyBorder="1" applyAlignment="1">
      <alignment horizontal="center" vertical="center" wrapText="1"/>
    </xf>
    <xf numFmtId="0" fontId="59" fillId="11" borderId="13" xfId="0" applyFont="1" applyFill="1" applyBorder="1" applyAlignment="1">
      <alignment horizontal="center" vertical="center" wrapText="1"/>
    </xf>
    <xf numFmtId="0" fontId="59" fillId="3" borderId="17" xfId="0" applyFont="1" applyFill="1" applyBorder="1" applyAlignment="1">
      <alignment horizontal="center" vertical="center" wrapText="1"/>
    </xf>
    <xf numFmtId="0" fontId="59" fillId="3" borderId="29" xfId="0" applyFont="1" applyFill="1" applyBorder="1" applyAlignment="1">
      <alignment horizontal="center" vertical="center" wrapText="1"/>
    </xf>
    <xf numFmtId="0" fontId="59" fillId="3" borderId="20" xfId="0" applyFont="1" applyFill="1" applyBorder="1" applyAlignment="1">
      <alignment horizontal="center" vertical="center" wrapText="1"/>
    </xf>
    <xf numFmtId="2" fontId="59" fillId="0" borderId="11" xfId="0" applyNumberFormat="1" applyFont="1" applyBorder="1" applyAlignment="1">
      <alignment horizontal="center" vertical="center" wrapText="1"/>
    </xf>
    <xf numFmtId="2" fontId="59" fillId="0" borderId="12" xfId="0" applyNumberFormat="1" applyFont="1" applyBorder="1" applyAlignment="1">
      <alignment horizontal="center" vertical="center" wrapText="1"/>
    </xf>
    <xf numFmtId="2" fontId="59" fillId="0" borderId="13" xfId="0" applyNumberFormat="1" applyFont="1" applyBorder="1" applyAlignment="1">
      <alignment horizontal="center" vertical="center" wrapText="1"/>
    </xf>
    <xf numFmtId="2" fontId="59" fillId="11" borderId="14" xfId="0" applyNumberFormat="1" applyFont="1" applyFill="1" applyBorder="1" applyAlignment="1">
      <alignment horizontal="center" vertical="center" wrapText="1"/>
    </xf>
    <xf numFmtId="2" fontId="59" fillId="11" borderId="17" xfId="0" applyNumberFormat="1" applyFont="1" applyFill="1" applyBorder="1" applyAlignment="1">
      <alignment horizontal="center" vertical="center" wrapText="1"/>
    </xf>
    <xf numFmtId="2" fontId="59" fillId="11" borderId="18" xfId="0" applyNumberFormat="1" applyFont="1" applyFill="1" applyBorder="1" applyAlignment="1">
      <alignment horizontal="center" vertical="center" wrapText="1"/>
    </xf>
    <xf numFmtId="2" fontId="59" fillId="11" borderId="20" xfId="0" applyNumberFormat="1" applyFont="1" applyFill="1" applyBorder="1" applyAlignment="1">
      <alignment horizontal="center" vertical="center" wrapText="1"/>
    </xf>
    <xf numFmtId="0" fontId="59" fillId="0" borderId="0" xfId="0" applyFont="1" applyAlignment="1">
      <alignment horizontal="center" vertical="center"/>
    </xf>
    <xf numFmtId="0" fontId="59" fillId="0" borderId="17" xfId="0" applyFont="1" applyBorder="1" applyAlignment="1">
      <alignment horizontal="center" vertical="center" wrapText="1"/>
    </xf>
    <xf numFmtId="49" fontId="59" fillId="11" borderId="11" xfId="0" applyNumberFormat="1" applyFont="1" applyFill="1" applyBorder="1" applyAlignment="1">
      <alignment horizontal="center" vertical="center" wrapText="1"/>
    </xf>
    <xf numFmtId="49" fontId="59" fillId="11" borderId="12" xfId="0" applyNumberFormat="1" applyFont="1" applyFill="1" applyBorder="1" applyAlignment="1">
      <alignment horizontal="center" vertical="center" wrapText="1"/>
    </xf>
    <xf numFmtId="49" fontId="59" fillId="11" borderId="13" xfId="0" applyNumberFormat="1" applyFont="1" applyFill="1" applyBorder="1" applyAlignment="1">
      <alignment horizontal="center" vertical="center" wrapText="1"/>
    </xf>
    <xf numFmtId="49" fontId="59" fillId="0" borderId="11" xfId="0" applyNumberFormat="1" applyFont="1" applyBorder="1" applyAlignment="1">
      <alignment horizontal="center" vertical="center" wrapText="1"/>
    </xf>
    <xf numFmtId="0" fontId="59" fillId="0" borderId="12" xfId="0" applyFont="1" applyBorder="1" applyAlignment="1">
      <alignment vertical="center"/>
    </xf>
    <xf numFmtId="2" fontId="59" fillId="0" borderId="14" xfId="0" applyNumberFormat="1" applyFont="1" applyBorder="1" applyAlignment="1">
      <alignment horizontal="center" vertical="center" wrapText="1"/>
    </xf>
    <xf numFmtId="2" fontId="59" fillId="0" borderId="17" xfId="0" applyNumberFormat="1" applyFont="1" applyBorder="1" applyAlignment="1">
      <alignment horizontal="center" vertical="center" wrapText="1"/>
    </xf>
    <xf numFmtId="2" fontId="59" fillId="0" borderId="24" xfId="0" applyNumberFormat="1" applyFont="1" applyBorder="1" applyAlignment="1">
      <alignment horizontal="center" vertical="center" wrapText="1"/>
    </xf>
    <xf numFmtId="2" fontId="59" fillId="0" borderId="29" xfId="0" applyNumberFormat="1" applyFont="1" applyBorder="1" applyAlignment="1">
      <alignment horizontal="center" vertical="center" wrapText="1"/>
    </xf>
    <xf numFmtId="2" fontId="59" fillId="0" borderId="18" xfId="0" applyNumberFormat="1" applyFont="1" applyBorder="1" applyAlignment="1">
      <alignment horizontal="center" vertical="center" wrapText="1"/>
    </xf>
    <xf numFmtId="2" fontId="59" fillId="0" borderId="20" xfId="0" applyNumberFormat="1" applyFont="1" applyBorder="1" applyAlignment="1">
      <alignment horizontal="center" vertical="center" wrapText="1"/>
    </xf>
    <xf numFmtId="49" fontId="59" fillId="0" borderId="12" xfId="0" applyNumberFormat="1" applyFont="1" applyBorder="1" applyAlignment="1">
      <alignment horizontal="center" vertical="center" wrapText="1"/>
    </xf>
    <xf numFmtId="0" fontId="59" fillId="0" borderId="24" xfId="25" applyFont="1" applyBorder="1" applyAlignment="1">
      <alignment horizontal="center" vertical="center" wrapText="1"/>
    </xf>
    <xf numFmtId="0" fontId="59" fillId="0" borderId="0" xfId="25" applyFont="1" applyAlignment="1">
      <alignment horizontal="center" vertical="center" wrapText="1"/>
    </xf>
    <xf numFmtId="0" fontId="59" fillId="0" borderId="29" xfId="25" applyFont="1" applyBorder="1" applyAlignment="1">
      <alignment horizontal="center" vertical="center" wrapText="1"/>
    </xf>
    <xf numFmtId="0" fontId="59" fillId="0" borderId="18" xfId="25" applyFont="1" applyBorder="1" applyAlignment="1">
      <alignment horizontal="center" vertical="center" wrapText="1"/>
    </xf>
    <xf numFmtId="0" fontId="59" fillId="0" borderId="19" xfId="25" applyFont="1" applyBorder="1" applyAlignment="1">
      <alignment horizontal="center" vertical="center" wrapText="1"/>
    </xf>
    <xf numFmtId="0" fontId="59" fillId="0" borderId="20" xfId="25" applyFont="1" applyBorder="1" applyAlignment="1">
      <alignment horizontal="center" vertical="center" wrapText="1"/>
    </xf>
    <xf numFmtId="0" fontId="59" fillId="0" borderId="14" xfId="25" applyFont="1" applyBorder="1" applyAlignment="1">
      <alignment horizontal="center" vertical="center" wrapText="1"/>
    </xf>
    <xf numFmtId="0" fontId="59" fillId="0" borderId="16" xfId="25" applyFont="1" applyBorder="1" applyAlignment="1">
      <alignment horizontal="center" vertical="center" wrapText="1"/>
    </xf>
    <xf numFmtId="0" fontId="59" fillId="0" borderId="17" xfId="25" applyFont="1" applyBorder="1" applyAlignment="1">
      <alignment horizontal="center" vertical="center" wrapText="1"/>
    </xf>
    <xf numFmtId="49" fontId="59" fillId="0" borderId="13" xfId="0" applyNumberFormat="1" applyFont="1" applyBorder="1" applyAlignment="1">
      <alignment horizontal="center" vertical="center" wrapText="1"/>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58" fillId="0" borderId="11" xfId="0" applyFont="1" applyBorder="1" applyAlignment="1">
      <alignment horizontal="center" vertical="center" wrapText="1"/>
    </xf>
    <xf numFmtId="0" fontId="58" fillId="0" borderId="12" xfId="0" applyFont="1" applyBorder="1" applyAlignment="1">
      <alignment horizontal="center" vertical="center" wrapText="1"/>
    </xf>
    <xf numFmtId="0" fontId="59" fillId="0" borderId="0" xfId="0" applyFont="1" applyAlignment="1">
      <alignment horizontal="center" vertical="center" wrapText="1"/>
    </xf>
    <xf numFmtId="0" fontId="59" fillId="0" borderId="19" xfId="0" applyFont="1" applyBorder="1" applyAlignment="1">
      <alignment horizontal="center" vertical="center" wrapText="1"/>
    </xf>
    <xf numFmtId="2" fontId="59" fillId="5" borderId="11" xfId="0" applyNumberFormat="1" applyFont="1" applyFill="1" applyBorder="1" applyAlignment="1">
      <alignment horizontal="center" vertical="center" wrapText="1"/>
    </xf>
    <xf numFmtId="2" fontId="59" fillId="5" borderId="12" xfId="0" applyNumberFormat="1" applyFont="1" applyFill="1" applyBorder="1" applyAlignment="1">
      <alignment horizontal="center" vertical="center" wrapText="1"/>
    </xf>
    <xf numFmtId="2" fontId="59" fillId="5" borderId="13" xfId="0" applyNumberFormat="1" applyFont="1" applyFill="1" applyBorder="1" applyAlignment="1">
      <alignment horizontal="center" vertical="center" wrapText="1"/>
    </xf>
    <xf numFmtId="0" fontId="59" fillId="11" borderId="14" xfId="0" applyFont="1" applyFill="1" applyBorder="1" applyAlignment="1">
      <alignment horizontal="center" vertical="center" wrapText="1"/>
    </xf>
    <xf numFmtId="0" fontId="59" fillId="11" borderId="16" xfId="0" applyFont="1" applyFill="1" applyBorder="1" applyAlignment="1">
      <alignment horizontal="center" vertical="center" wrapText="1"/>
    </xf>
    <xf numFmtId="0" fontId="59" fillId="11" borderId="17" xfId="0" applyFont="1" applyFill="1" applyBorder="1" applyAlignment="1">
      <alignment horizontal="center" vertical="center" wrapText="1"/>
    </xf>
    <xf numFmtId="0" fontId="59" fillId="11" borderId="18" xfId="0" applyFont="1" applyFill="1" applyBorder="1" applyAlignment="1">
      <alignment horizontal="center" vertical="center" wrapText="1"/>
    </xf>
    <xf numFmtId="0" fontId="59" fillId="11" borderId="19" xfId="0" applyFont="1" applyFill="1" applyBorder="1" applyAlignment="1">
      <alignment horizontal="center" vertical="center" wrapText="1"/>
    </xf>
    <xf numFmtId="0" fontId="59" fillId="11" borderId="20" xfId="0" applyFont="1" applyFill="1" applyBorder="1" applyAlignment="1">
      <alignment horizontal="center" vertical="center" wrapText="1"/>
    </xf>
    <xf numFmtId="0" fontId="59" fillId="3" borderId="13" xfId="0" applyFont="1" applyFill="1" applyBorder="1" applyAlignment="1">
      <alignment horizontal="center" vertical="center" wrapText="1"/>
    </xf>
    <xf numFmtId="2" fontId="59" fillId="18" borderId="11" xfId="0" applyNumberFormat="1" applyFont="1" applyFill="1" applyBorder="1" applyAlignment="1">
      <alignment horizontal="center" vertical="center" wrapText="1"/>
    </xf>
    <xf numFmtId="2" fontId="59" fillId="18" borderId="12" xfId="0" applyNumberFormat="1" applyFont="1" applyFill="1" applyBorder="1" applyAlignment="1">
      <alignment horizontal="center" vertical="center" wrapText="1"/>
    </xf>
    <xf numFmtId="2" fontId="59" fillId="18" borderId="13" xfId="0" applyNumberFormat="1" applyFont="1" applyFill="1" applyBorder="1" applyAlignment="1">
      <alignment horizontal="center" vertical="center" wrapText="1"/>
    </xf>
    <xf numFmtId="0" fontId="59" fillId="3" borderId="10" xfId="0" applyFont="1" applyFill="1" applyBorder="1" applyAlignment="1">
      <alignment horizontal="center" vertical="center" wrapText="1"/>
    </xf>
    <xf numFmtId="0" fontId="59" fillId="3" borderId="15" xfId="0" applyFont="1" applyFill="1" applyBorder="1" applyAlignment="1">
      <alignment horizontal="center" vertical="center" wrapText="1"/>
    </xf>
    <xf numFmtId="0" fontId="59" fillId="5" borderId="11" xfId="0" applyFont="1" applyFill="1" applyBorder="1" applyAlignment="1">
      <alignment horizontal="center" vertical="center"/>
    </xf>
    <xf numFmtId="0" fontId="59" fillId="5" borderId="12" xfId="0" applyFont="1" applyFill="1" applyBorder="1" applyAlignment="1">
      <alignment horizontal="center" vertical="center"/>
    </xf>
    <xf numFmtId="0" fontId="59" fillId="5" borderId="13" xfId="0" applyFont="1" applyFill="1" applyBorder="1" applyAlignment="1">
      <alignment horizontal="center" vertical="center"/>
    </xf>
    <xf numFmtId="0" fontId="59" fillId="5" borderId="14" xfId="0" applyFont="1" applyFill="1" applyBorder="1" applyAlignment="1">
      <alignment horizontal="center" vertical="center" wrapText="1"/>
    </xf>
    <xf numFmtId="0" fontId="59" fillId="5" borderId="16"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59" fillId="5" borderId="24" xfId="0" applyFont="1" applyFill="1" applyBorder="1" applyAlignment="1">
      <alignment horizontal="center" vertical="center" wrapText="1"/>
    </xf>
    <xf numFmtId="0" fontId="59" fillId="5" borderId="0" xfId="0" applyFont="1" applyFill="1" applyBorder="1" applyAlignment="1">
      <alignment horizontal="center" vertical="center" wrapText="1"/>
    </xf>
    <xf numFmtId="0" fontId="59" fillId="5" borderId="29" xfId="0" applyFont="1" applyFill="1" applyBorder="1" applyAlignment="1">
      <alignment horizontal="center" vertical="center" wrapText="1"/>
    </xf>
    <xf numFmtId="0" fontId="59" fillId="5" borderId="18" xfId="0" applyFont="1" applyFill="1" applyBorder="1" applyAlignment="1">
      <alignment horizontal="center" vertical="center" wrapText="1"/>
    </xf>
    <xf numFmtId="0" fontId="59" fillId="5" borderId="19" xfId="0" applyFont="1" applyFill="1" applyBorder="1" applyAlignment="1">
      <alignment horizontal="center" vertical="center" wrapText="1"/>
    </xf>
    <xf numFmtId="0" fontId="59" fillId="5" borderId="20" xfId="0" applyFont="1" applyFill="1" applyBorder="1" applyAlignment="1">
      <alignment horizontal="center" vertical="center" wrapText="1"/>
    </xf>
    <xf numFmtId="0" fontId="59" fillId="5" borderId="11" xfId="0" applyFont="1" applyFill="1" applyBorder="1" applyAlignment="1">
      <alignment horizontal="center" vertical="center" wrapText="1"/>
    </xf>
    <xf numFmtId="0" fontId="59" fillId="5" borderId="12"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59" fillId="5" borderId="0" xfId="0" applyFont="1" applyFill="1" applyAlignment="1">
      <alignment horizontal="center" vertical="center" wrapText="1"/>
    </xf>
    <xf numFmtId="0" fontId="59" fillId="11" borderId="11" xfId="0" applyFont="1" applyFill="1" applyBorder="1" applyAlignment="1">
      <alignment horizontal="center" vertical="center"/>
    </xf>
    <xf numFmtId="0" fontId="59" fillId="11" borderId="12" xfId="0" applyFont="1" applyFill="1" applyBorder="1" applyAlignment="1">
      <alignment horizontal="center" vertical="center"/>
    </xf>
    <xf numFmtId="0" fontId="59" fillId="11" borderId="13" xfId="0" applyFont="1" applyFill="1" applyBorder="1" applyAlignment="1">
      <alignment horizontal="center" vertical="center"/>
    </xf>
    <xf numFmtId="49" fontId="59" fillId="11" borderId="14" xfId="0" applyNumberFormat="1" applyFont="1" applyFill="1" applyBorder="1" applyAlignment="1">
      <alignment horizontal="center" vertical="center" wrapText="1"/>
    </xf>
    <xf numFmtId="49" fontId="59" fillId="11" borderId="17" xfId="0" applyNumberFormat="1" applyFont="1" applyFill="1" applyBorder="1" applyAlignment="1">
      <alignment horizontal="center" vertical="center" wrapText="1"/>
    </xf>
    <xf numFmtId="49" fontId="59" fillId="11" borderId="18" xfId="0" applyNumberFormat="1" applyFont="1" applyFill="1" applyBorder="1" applyAlignment="1">
      <alignment horizontal="center" vertical="center" wrapText="1"/>
    </xf>
    <xf numFmtId="49" fontId="59" fillId="11" borderId="20" xfId="0" applyNumberFormat="1" applyFont="1" applyFill="1" applyBorder="1" applyAlignment="1">
      <alignment horizontal="center" vertical="center" wrapText="1"/>
    </xf>
    <xf numFmtId="0" fontId="59" fillId="0" borderId="11" xfId="25" applyFont="1" applyBorder="1" applyAlignment="1">
      <alignment horizontal="center" vertical="center" wrapText="1"/>
    </xf>
    <xf numFmtId="0" fontId="59" fillId="0" borderId="13" xfId="25" applyFont="1" applyBorder="1" applyAlignment="1">
      <alignment horizontal="center" vertical="center" wrapText="1"/>
    </xf>
    <xf numFmtId="0" fontId="58" fillId="3" borderId="11" xfId="0" applyFont="1" applyFill="1" applyBorder="1" applyAlignment="1">
      <alignment horizontal="center" vertical="center" wrapText="1"/>
    </xf>
    <xf numFmtId="0" fontId="58" fillId="3" borderId="12" xfId="0" applyFont="1" applyFill="1" applyBorder="1" applyAlignment="1">
      <alignment horizontal="center" vertical="center" wrapText="1"/>
    </xf>
    <xf numFmtId="0" fontId="59" fillId="0" borderId="11"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2" xfId="25" applyFont="1" applyBorder="1" applyAlignment="1">
      <alignment horizontal="center" vertical="center" wrapText="1"/>
    </xf>
    <xf numFmtId="0" fontId="59" fillId="0" borderId="13" xfId="0" applyFont="1" applyBorder="1" applyAlignment="1">
      <alignment vertical="center"/>
    </xf>
    <xf numFmtId="0" fontId="59" fillId="11" borderId="14" xfId="25" applyFont="1" applyFill="1" applyBorder="1" applyAlignment="1">
      <alignment horizontal="center" vertical="center" wrapText="1"/>
    </xf>
    <xf numFmtId="0" fontId="59" fillId="11" borderId="17" xfId="25" applyFont="1" applyFill="1" applyBorder="1" applyAlignment="1">
      <alignment horizontal="center" vertical="center" wrapText="1"/>
    </xf>
    <xf numFmtId="0" fontId="59" fillId="11" borderId="18" xfId="25" applyFont="1" applyFill="1" applyBorder="1" applyAlignment="1">
      <alignment horizontal="center" vertical="center" wrapText="1"/>
    </xf>
    <xf numFmtId="0" fontId="59" fillId="11" borderId="20" xfId="25" applyFont="1" applyFill="1" applyBorder="1" applyAlignment="1">
      <alignment horizontal="center" vertical="center" wrapText="1"/>
    </xf>
    <xf numFmtId="0" fontId="59" fillId="0" borderId="20" xfId="0" applyFont="1" applyBorder="1" applyAlignment="1">
      <alignment vertical="center"/>
    </xf>
    <xf numFmtId="0" fontId="59" fillId="0" borderId="45" xfId="0" applyFont="1" applyBorder="1" applyAlignment="1">
      <alignment horizontal="center" vertical="center" wrapText="1"/>
    </xf>
    <xf numFmtId="0" fontId="59" fillId="0" borderId="30" xfId="0" applyFont="1" applyBorder="1" applyAlignment="1">
      <alignment horizontal="center" vertical="center" wrapText="1"/>
    </xf>
    <xf numFmtId="0" fontId="59" fillId="0" borderId="46" xfId="0" applyFont="1" applyBorder="1" applyAlignment="1">
      <alignment horizontal="center" vertical="center" wrapText="1"/>
    </xf>
    <xf numFmtId="0" fontId="59" fillId="0" borderId="45" xfId="0" applyFont="1" applyBorder="1" applyAlignment="1">
      <alignment horizontal="center" vertical="center"/>
    </xf>
    <xf numFmtId="0" fontId="59" fillId="0" borderId="30" xfId="0" applyFont="1" applyBorder="1" applyAlignment="1">
      <alignment horizontal="center" vertical="center"/>
    </xf>
    <xf numFmtId="0" fontId="59" fillId="0" borderId="46" xfId="0" applyFont="1" applyBorder="1" applyAlignment="1">
      <alignment horizontal="center" vertical="center"/>
    </xf>
    <xf numFmtId="0" fontId="59" fillId="0" borderId="2" xfId="0" applyFont="1" applyBorder="1" applyAlignment="1">
      <alignment horizontal="center" vertical="center" wrapText="1"/>
    </xf>
    <xf numFmtId="165" fontId="59" fillId="0" borderId="45" xfId="0" applyNumberFormat="1" applyFont="1" applyBorder="1" applyAlignment="1">
      <alignment horizontal="center" vertical="center" wrapText="1"/>
    </xf>
    <xf numFmtId="165" fontId="59" fillId="0" borderId="30" xfId="0" applyNumberFormat="1" applyFont="1" applyBorder="1" applyAlignment="1">
      <alignment horizontal="center" vertical="center" wrapText="1"/>
    </xf>
    <xf numFmtId="0" fontId="59" fillId="0" borderId="60" xfId="0" applyFont="1" applyBorder="1" applyAlignment="1">
      <alignment horizontal="center" vertical="center" wrapText="1"/>
    </xf>
    <xf numFmtId="0" fontId="59" fillId="0" borderId="38" xfId="0" applyFont="1" applyBorder="1" applyAlignment="1">
      <alignment horizontal="center" vertical="center" wrapText="1"/>
    </xf>
    <xf numFmtId="0" fontId="59" fillId="0" borderId="61" xfId="0" applyFont="1" applyBorder="1" applyAlignment="1">
      <alignment horizontal="center" vertical="center" wrapText="1"/>
    </xf>
    <xf numFmtId="2" fontId="59" fillId="5" borderId="14" xfId="0" applyNumberFormat="1" applyFont="1" applyFill="1" applyBorder="1" applyAlignment="1">
      <alignment horizontal="center" vertical="center" wrapText="1"/>
    </xf>
    <xf numFmtId="2" fontId="59" fillId="5" borderId="16" xfId="0" applyNumberFormat="1" applyFont="1" applyFill="1" applyBorder="1" applyAlignment="1">
      <alignment horizontal="center" vertical="center" wrapText="1"/>
    </xf>
    <xf numFmtId="2" fontId="59" fillId="5" borderId="17" xfId="0" applyNumberFormat="1" applyFont="1" applyFill="1" applyBorder="1" applyAlignment="1">
      <alignment horizontal="center" vertical="center" wrapText="1"/>
    </xf>
    <xf numFmtId="2" fontId="59" fillId="5" borderId="18" xfId="0" applyNumberFormat="1" applyFont="1" applyFill="1" applyBorder="1" applyAlignment="1">
      <alignment horizontal="center" vertical="center" wrapText="1"/>
    </xf>
    <xf numFmtId="2" fontId="59" fillId="5" borderId="19" xfId="0" applyNumberFormat="1" applyFont="1" applyFill="1" applyBorder="1" applyAlignment="1">
      <alignment horizontal="center" vertical="center" wrapText="1"/>
    </xf>
    <xf numFmtId="2" fontId="59" fillId="5" borderId="20" xfId="0" applyNumberFormat="1" applyFont="1" applyFill="1" applyBorder="1" applyAlignment="1">
      <alignment horizontal="center" vertical="center" wrapText="1"/>
    </xf>
    <xf numFmtId="2" fontId="59" fillId="0" borderId="16" xfId="0" applyNumberFormat="1" applyFont="1" applyBorder="1" applyAlignment="1">
      <alignment horizontal="center" vertical="center" wrapText="1"/>
    </xf>
    <xf numFmtId="2" fontId="59" fillId="0" borderId="0" xfId="0" applyNumberFormat="1" applyFont="1" applyAlignment="1">
      <alignment horizontal="center" vertical="center" wrapText="1"/>
    </xf>
    <xf numFmtId="2" fontId="59" fillId="0" borderId="19" xfId="0" applyNumberFormat="1" applyFont="1" applyBorder="1" applyAlignment="1">
      <alignment horizontal="center" vertical="center" wrapText="1"/>
    </xf>
    <xf numFmtId="0" fontId="59" fillId="0" borderId="2" xfId="0" applyFont="1" applyBorder="1" applyAlignment="1">
      <alignment horizontal="center" vertical="center"/>
    </xf>
    <xf numFmtId="0" fontId="74" fillId="0" borderId="46" xfId="0" applyFont="1" applyBorder="1" applyAlignment="1">
      <alignment horizontal="center" vertical="center" wrapText="1"/>
    </xf>
    <xf numFmtId="0" fontId="59" fillId="0" borderId="14"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29"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29" fillId="3" borderId="45" xfId="1" applyFont="1" applyFill="1" applyBorder="1" applyAlignment="1">
      <alignment horizontal="center" vertical="center"/>
    </xf>
    <xf numFmtId="0" fontId="29" fillId="3" borderId="46" xfId="1" quotePrefix="1" applyFont="1" applyFill="1" applyBorder="1" applyAlignment="1">
      <alignment horizontal="center" vertical="center"/>
    </xf>
    <xf numFmtId="0" fontId="29" fillId="3" borderId="30" xfId="1" quotePrefix="1" applyFont="1" applyFill="1" applyBorder="1" applyAlignment="1">
      <alignment horizontal="center" vertical="center"/>
    </xf>
    <xf numFmtId="0" fontId="29" fillId="3" borderId="2" xfId="1" quotePrefix="1" applyFont="1" applyFill="1" applyBorder="1" applyAlignment="1">
      <alignment horizontal="center" vertical="center"/>
    </xf>
    <xf numFmtId="0" fontId="29" fillId="3" borderId="2" xfId="1" applyFont="1" applyFill="1" applyBorder="1" applyAlignment="1">
      <alignment horizontal="center" vertical="center"/>
    </xf>
    <xf numFmtId="0" fontId="29" fillId="3" borderId="45" xfId="1" quotePrefix="1" applyFont="1" applyFill="1" applyBorder="1" applyAlignment="1">
      <alignment horizontal="center" vertical="center"/>
    </xf>
    <xf numFmtId="0" fontId="29" fillId="3" borderId="46" xfId="1" applyFont="1" applyFill="1" applyBorder="1" applyAlignment="1">
      <alignment horizontal="center" vertical="center"/>
    </xf>
    <xf numFmtId="0" fontId="29" fillId="15" borderId="2" xfId="1" applyFont="1" applyFill="1" applyBorder="1" applyAlignment="1">
      <alignment horizontal="center" vertical="center"/>
    </xf>
    <xf numFmtId="0" fontId="29" fillId="15" borderId="2" xfId="1" quotePrefix="1" applyFont="1" applyFill="1" applyBorder="1" applyAlignment="1">
      <alignment horizontal="center" vertical="center"/>
    </xf>
    <xf numFmtId="0" fontId="29" fillId="3" borderId="2" xfId="1" quotePrefix="1" applyFont="1" applyFill="1" applyBorder="1" applyAlignment="1">
      <alignment horizontal="center" vertical="center" wrapText="1"/>
    </xf>
    <xf numFmtId="0" fontId="29" fillId="3" borderId="2" xfId="1" applyFont="1" applyFill="1" applyBorder="1" applyAlignment="1">
      <alignment horizontal="center" vertical="center" wrapText="1"/>
    </xf>
    <xf numFmtId="0" fontId="29" fillId="0" borderId="45" xfId="1" applyFont="1" applyBorder="1" applyAlignment="1">
      <alignment horizontal="center" vertical="center" wrapText="1"/>
    </xf>
    <xf numFmtId="0" fontId="29" fillId="0" borderId="46" xfId="1" applyFont="1" applyBorder="1" applyAlignment="1">
      <alignment horizontal="center" vertical="center" wrapText="1"/>
    </xf>
    <xf numFmtId="0" fontId="18" fillId="0" borderId="2" xfId="1" applyFont="1" applyBorder="1" applyAlignment="1">
      <alignment horizontal="center" vertical="center" wrapText="1"/>
    </xf>
    <xf numFmtId="0" fontId="29" fillId="4" borderId="45" xfId="1" applyFont="1" applyFill="1" applyBorder="1" applyAlignment="1">
      <alignment horizontal="center" vertical="center" wrapText="1"/>
    </xf>
    <xf numFmtId="0" fontId="29" fillId="4" borderId="46" xfId="1" applyFont="1" applyFill="1" applyBorder="1" applyAlignment="1">
      <alignment horizontal="center" vertical="center" wrapText="1"/>
    </xf>
    <xf numFmtId="0" fontId="18" fillId="0" borderId="8" xfId="1" applyFont="1" applyBorder="1" applyAlignment="1">
      <alignment horizontal="center" vertical="center" wrapText="1"/>
    </xf>
    <xf numFmtId="0" fontId="18" fillId="0" borderId="60" xfId="1" applyFont="1" applyBorder="1" applyAlignment="1">
      <alignment horizontal="center" vertical="center" wrapText="1"/>
    </xf>
    <xf numFmtId="0" fontId="29" fillId="0" borderId="2" xfId="1" applyFont="1" applyBorder="1" applyAlignment="1">
      <alignment horizontal="center" vertical="center" wrapText="1"/>
    </xf>
    <xf numFmtId="0" fontId="18" fillId="0" borderId="61" xfId="1" applyFont="1" applyBorder="1" applyAlignment="1">
      <alignment horizontal="center" vertical="center" wrapText="1"/>
    </xf>
    <xf numFmtId="0" fontId="29" fillId="4" borderId="2" xfId="1" applyFont="1" applyFill="1" applyBorder="1" applyAlignment="1">
      <alignment horizontal="center" vertical="center" wrapText="1"/>
    </xf>
    <xf numFmtId="0" fontId="29" fillId="0" borderId="60" xfId="1" applyFont="1" applyBorder="1" applyAlignment="1">
      <alignment horizontal="center" vertical="center" wrapText="1"/>
    </xf>
    <xf numFmtId="0" fontId="29" fillId="0" borderId="61" xfId="1" applyFont="1" applyBorder="1" applyAlignment="1">
      <alignment horizontal="center" vertical="center" wrapText="1"/>
    </xf>
    <xf numFmtId="0" fontId="29" fillId="0" borderId="2" xfId="1" applyFont="1" applyFill="1" applyBorder="1" applyAlignment="1">
      <alignment horizontal="center" vertical="center" wrapText="1"/>
    </xf>
    <xf numFmtId="0" fontId="29" fillId="0" borderId="8" xfId="1" applyFont="1" applyBorder="1" applyAlignment="1">
      <alignment horizontal="center" vertical="center" wrapText="1"/>
    </xf>
    <xf numFmtId="0" fontId="29" fillId="0" borderId="63" xfId="1" applyFont="1" applyBorder="1" applyAlignment="1">
      <alignment horizontal="center" vertical="center" wrapText="1"/>
    </xf>
    <xf numFmtId="0" fontId="18" fillId="3" borderId="2" xfId="1" applyFont="1" applyFill="1" applyBorder="1" applyAlignment="1">
      <alignment horizontal="center" vertical="center"/>
    </xf>
    <xf numFmtId="0" fontId="18" fillId="3" borderId="2" xfId="1" quotePrefix="1" applyFont="1" applyFill="1" applyBorder="1" applyAlignment="1">
      <alignment horizontal="center" vertical="center"/>
    </xf>
    <xf numFmtId="0" fontId="64" fillId="11" borderId="60" xfId="1" applyFont="1" applyFill="1" applyBorder="1" applyAlignment="1">
      <alignment horizontal="center" vertical="center" wrapText="1"/>
    </xf>
    <xf numFmtId="0" fontId="64" fillId="11" borderId="61" xfId="1" applyFont="1" applyFill="1" applyBorder="1" applyAlignment="1">
      <alignment horizontal="center" vertical="center" wrapText="1"/>
    </xf>
    <xf numFmtId="0" fontId="64" fillId="4" borderId="2"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32" fillId="4" borderId="46" xfId="1" applyFont="1" applyFill="1" applyBorder="1" applyAlignment="1">
      <alignment horizontal="center" vertical="center" wrapText="1"/>
    </xf>
    <xf numFmtId="0" fontId="64" fillId="0" borderId="8" xfId="1" applyFont="1" applyBorder="1" applyAlignment="1">
      <alignment horizontal="center" vertical="center" wrapText="1"/>
    </xf>
    <xf numFmtId="0" fontId="64" fillId="0" borderId="60" xfId="1" applyFont="1" applyBorder="1" applyAlignment="1">
      <alignment horizontal="center" vertical="center" wrapText="1"/>
    </xf>
    <xf numFmtId="0" fontId="32" fillId="0" borderId="45" xfId="1" applyFont="1" applyBorder="1" applyAlignment="1">
      <alignment horizontal="center" vertical="center" wrapText="1"/>
    </xf>
    <xf numFmtId="0" fontId="32" fillId="0" borderId="46" xfId="1" applyFont="1" applyBorder="1" applyAlignment="1">
      <alignment horizontal="center" vertical="center" wrapText="1"/>
    </xf>
    <xf numFmtId="0" fontId="64" fillId="4" borderId="60" xfId="1" applyFont="1" applyFill="1" applyBorder="1" applyAlignment="1">
      <alignment horizontal="center" vertical="center" wrapText="1"/>
    </xf>
    <xf numFmtId="0" fontId="64" fillId="4" borderId="61" xfId="1" applyFont="1" applyFill="1" applyBorder="1" applyAlignment="1">
      <alignment horizontal="center" vertical="center" wrapText="1"/>
    </xf>
    <xf numFmtId="0" fontId="64" fillId="0" borderId="2" xfId="1" applyFont="1" applyBorder="1" applyAlignment="1">
      <alignment horizontal="center" vertical="center" wrapText="1"/>
    </xf>
    <xf numFmtId="0" fontId="64" fillId="0" borderId="61" xfId="1" applyFont="1" applyBorder="1" applyAlignment="1">
      <alignment horizontal="center" vertical="center" wrapText="1"/>
    </xf>
    <xf numFmtId="0" fontId="64" fillId="0" borderId="54" xfId="1" applyFont="1" applyBorder="1" applyAlignment="1">
      <alignment horizontal="center" vertical="center" wrapText="1"/>
    </xf>
    <xf numFmtId="0" fontId="64" fillId="0" borderId="53" xfId="1" applyFont="1" applyBorder="1" applyAlignment="1">
      <alignment horizontal="center" vertical="center" wrapText="1"/>
    </xf>
    <xf numFmtId="0" fontId="64" fillId="11" borderId="38" xfId="1" applyFont="1" applyFill="1" applyBorder="1" applyAlignment="1">
      <alignment horizontal="center" vertical="center" wrapText="1"/>
    </xf>
    <xf numFmtId="0" fontId="64" fillId="11" borderId="54" xfId="1" applyFont="1" applyFill="1" applyBorder="1" applyAlignment="1">
      <alignment horizontal="center" vertical="center" wrapText="1"/>
    </xf>
    <xf numFmtId="0" fontId="64" fillId="11" borderId="43" xfId="1" applyFont="1" applyFill="1" applyBorder="1" applyAlignment="1">
      <alignment horizontal="center" vertical="center" wrapText="1"/>
    </xf>
    <xf numFmtId="0" fontId="64" fillId="11" borderId="2" xfId="1" applyFont="1" applyFill="1" applyBorder="1" applyAlignment="1">
      <alignment horizontal="center" vertical="center" wrapText="1"/>
    </xf>
    <xf numFmtId="0" fontId="59" fillId="0" borderId="2" xfId="1" applyFont="1" applyBorder="1" applyAlignment="1">
      <alignment horizontal="center" vertical="center" wrapText="1"/>
    </xf>
    <xf numFmtId="0" fontId="59" fillId="0" borderId="45" xfId="1" applyFont="1" applyBorder="1" applyAlignment="1">
      <alignment horizontal="center" vertical="center" wrapText="1"/>
    </xf>
    <xf numFmtId="0" fontId="59" fillId="15" borderId="2" xfId="1" applyFont="1" applyFill="1" applyBorder="1" applyAlignment="1">
      <alignment horizontal="center" vertical="center" wrapText="1"/>
    </xf>
    <xf numFmtId="0" fontId="59" fillId="9" borderId="45" xfId="1" applyFont="1" applyFill="1" applyBorder="1" applyAlignment="1">
      <alignment horizontal="center" vertical="center"/>
    </xf>
    <xf numFmtId="0" fontId="59" fillId="9" borderId="46" xfId="1" applyFont="1" applyFill="1" applyBorder="1" applyAlignment="1">
      <alignment horizontal="center" vertical="center"/>
    </xf>
    <xf numFmtId="0" fontId="59" fillId="9" borderId="30" xfId="1" applyFont="1" applyFill="1" applyBorder="1" applyAlignment="1">
      <alignment horizontal="center" vertical="center"/>
    </xf>
    <xf numFmtId="0" fontId="59" fillId="9" borderId="2" xfId="1" applyFont="1" applyFill="1" applyBorder="1" applyAlignment="1">
      <alignment horizontal="center" vertical="center"/>
    </xf>
    <xf numFmtId="0" fontId="20" fillId="15" borderId="2" xfId="1" applyFont="1" applyFill="1" applyBorder="1" applyAlignment="1">
      <alignment horizontal="center" vertical="center" wrapText="1"/>
    </xf>
    <xf numFmtId="0" fontId="59" fillId="0" borderId="46" xfId="1" applyFont="1" applyBorder="1" applyAlignment="1">
      <alignment horizontal="center" vertical="center" wrapText="1"/>
    </xf>
    <xf numFmtId="0" fontId="59" fillId="0" borderId="0" xfId="1" applyFont="1" applyAlignment="1">
      <alignment horizontal="center" wrapText="1"/>
    </xf>
    <xf numFmtId="0" fontId="2" fillId="23" borderId="2" xfId="1" applyFont="1" applyFill="1" applyBorder="1" applyAlignment="1">
      <alignment horizontal="center"/>
    </xf>
    <xf numFmtId="0" fontId="64" fillId="5" borderId="10" xfId="1" applyFont="1" applyFill="1" applyBorder="1" applyAlignment="1">
      <alignment horizontal="center" vertical="center" wrapText="1"/>
    </xf>
    <xf numFmtId="0" fontId="64" fillId="5" borderId="18" xfId="1" applyFont="1" applyFill="1" applyBorder="1" applyAlignment="1">
      <alignment horizontal="center" vertical="center" wrapText="1"/>
    </xf>
    <xf numFmtId="0" fontId="64" fillId="5" borderId="11" xfId="1" applyFont="1" applyFill="1" applyBorder="1" applyAlignment="1">
      <alignment horizontal="center" vertical="center" wrapText="1"/>
    </xf>
    <xf numFmtId="0" fontId="64" fillId="5" borderId="12" xfId="1" applyFont="1" applyFill="1" applyBorder="1" applyAlignment="1">
      <alignment horizontal="center" vertical="center" wrapText="1"/>
    </xf>
    <xf numFmtId="0" fontId="64" fillId="11" borderId="12" xfId="1" applyFont="1" applyFill="1" applyBorder="1" applyAlignment="1">
      <alignment horizontal="center" vertical="center" wrapText="1"/>
    </xf>
    <xf numFmtId="0" fontId="64" fillId="11" borderId="13" xfId="1" applyFont="1" applyFill="1" applyBorder="1" applyAlignment="1">
      <alignment horizontal="center" vertical="center" wrapText="1"/>
    </xf>
    <xf numFmtId="0" fontId="64" fillId="0" borderId="12" xfId="1" applyFont="1" applyBorder="1" applyAlignment="1">
      <alignment horizontal="center" vertical="center" wrapText="1"/>
    </xf>
    <xf numFmtId="0" fontId="64" fillId="0" borderId="13" xfId="1" applyFont="1" applyBorder="1" applyAlignment="1">
      <alignment horizontal="center" vertical="center" wrapText="1"/>
    </xf>
    <xf numFmtId="0" fontId="64" fillId="11" borderId="10" xfId="1" applyFont="1" applyFill="1" applyBorder="1" applyAlignment="1">
      <alignment horizontal="center" vertical="center" wrapText="1"/>
    </xf>
    <xf numFmtId="0" fontId="64" fillId="11" borderId="21" xfId="1" applyFont="1" applyFill="1" applyBorder="1" applyAlignment="1">
      <alignment horizontal="center" vertical="center" wrapText="1"/>
    </xf>
    <xf numFmtId="0" fontId="64" fillId="0" borderId="10" xfId="1" applyFont="1" applyBorder="1" applyAlignment="1">
      <alignment horizontal="center" vertical="center" wrapText="1"/>
    </xf>
    <xf numFmtId="0" fontId="64" fillId="0" borderId="15" xfId="1" applyFont="1" applyBorder="1" applyAlignment="1">
      <alignment horizontal="center" vertical="center" wrapText="1"/>
    </xf>
    <xf numFmtId="0" fontId="64" fillId="0" borderId="21" xfId="1" applyFont="1" applyBorder="1" applyAlignment="1">
      <alignment horizontal="center" vertical="center" wrapText="1"/>
    </xf>
    <xf numFmtId="0" fontId="64" fillId="0" borderId="14" xfId="1" applyFont="1" applyBorder="1" applyAlignment="1">
      <alignment horizontal="center" vertical="center" wrapText="1"/>
    </xf>
    <xf numFmtId="0" fontId="64" fillId="0" borderId="16" xfId="1" applyFont="1" applyBorder="1" applyAlignment="1">
      <alignment horizontal="center" vertical="center" wrapText="1"/>
    </xf>
    <xf numFmtId="0" fontId="64" fillId="0" borderId="17" xfId="1" applyFont="1" applyBorder="1" applyAlignment="1">
      <alignment horizontal="center" vertical="center" wrapText="1"/>
    </xf>
    <xf numFmtId="0" fontId="64" fillId="0" borderId="18"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20" xfId="1" applyFont="1" applyBorder="1" applyAlignment="1">
      <alignment horizontal="center" vertical="center" wrapText="1"/>
    </xf>
    <xf numFmtId="0" fontId="64" fillId="0" borderId="11" xfId="1" applyFont="1" applyBorder="1" applyAlignment="1">
      <alignment horizontal="center" vertical="center" wrapText="1"/>
    </xf>
    <xf numFmtId="0" fontId="64" fillId="11" borderId="11" xfId="1" applyFont="1" applyFill="1" applyBorder="1" applyAlignment="1">
      <alignment horizontal="center" vertical="center" wrapText="1"/>
    </xf>
    <xf numFmtId="0" fontId="2" fillId="0" borderId="30" xfId="1" applyFont="1" applyBorder="1" applyAlignment="1">
      <alignment horizontal="left" wrapText="1"/>
    </xf>
    <xf numFmtId="0" fontId="64" fillId="5" borderId="13" xfId="1" applyFont="1" applyFill="1" applyBorder="1" applyAlignment="1">
      <alignment horizontal="center" vertical="center" wrapText="1"/>
    </xf>
    <xf numFmtId="0" fontId="64" fillId="0" borderId="0" xfId="1" applyFont="1" applyAlignment="1">
      <alignment horizontal="center" vertical="center" wrapText="1"/>
    </xf>
    <xf numFmtId="0" fontId="64" fillId="5" borderId="21" xfId="1" applyFont="1" applyFill="1" applyBorder="1" applyAlignment="1">
      <alignment horizontal="center" vertical="center" wrapText="1"/>
    </xf>
    <xf numFmtId="0" fontId="58" fillId="0" borderId="45" xfId="1" applyFont="1" applyBorder="1" applyAlignment="1">
      <alignment horizontal="center" vertical="center" wrapText="1"/>
    </xf>
    <xf numFmtId="0" fontId="58" fillId="0" borderId="46" xfId="1" applyFont="1" applyBorder="1" applyAlignment="1">
      <alignment horizontal="center" vertical="center" wrapText="1"/>
    </xf>
    <xf numFmtId="0" fontId="20" fillId="0" borderId="45" xfId="1" applyFont="1" applyBorder="1" applyAlignment="1">
      <alignment horizontal="center" vertical="center" wrapText="1"/>
    </xf>
    <xf numFmtId="0" fontId="20" fillId="0" borderId="46"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9" xfId="1" applyFont="1" applyBorder="1" applyAlignment="1">
      <alignment horizontal="center" vertical="center" wrapText="1"/>
    </xf>
    <xf numFmtId="0" fontId="18" fillId="17" borderId="24" xfId="1" applyFont="1" applyFill="1" applyBorder="1" applyAlignment="1">
      <alignment horizontal="center" vertical="center" wrapText="1"/>
    </xf>
    <xf numFmtId="0" fontId="18" fillId="17" borderId="29" xfId="1" applyFont="1" applyFill="1" applyBorder="1" applyAlignment="1">
      <alignment horizontal="center" vertical="center" wrapText="1"/>
    </xf>
    <xf numFmtId="0" fontId="18" fillId="17" borderId="18" xfId="1" applyFont="1" applyFill="1" applyBorder="1" applyAlignment="1">
      <alignment horizontal="center" vertical="center" wrapText="1"/>
    </xf>
    <xf numFmtId="0" fontId="18" fillId="17" borderId="20" xfId="1" applyFont="1" applyFill="1" applyBorder="1" applyAlignment="1">
      <alignment horizontal="center" vertical="center" wrapText="1"/>
    </xf>
    <xf numFmtId="0" fontId="18" fillId="17" borderId="14" xfId="1" applyFont="1" applyFill="1" applyBorder="1" applyAlignment="1">
      <alignment horizontal="center" vertical="center" wrapText="1"/>
    </xf>
    <xf numFmtId="0" fontId="18" fillId="17" borderId="17" xfId="1" applyFont="1" applyFill="1" applyBorder="1" applyAlignment="1">
      <alignment horizontal="center" vertical="center" wrapText="1"/>
    </xf>
    <xf numFmtId="0" fontId="1" fillId="0" borderId="2" xfId="1" applyBorder="1" applyAlignment="1">
      <alignment horizontal="center"/>
    </xf>
    <xf numFmtId="0" fontId="18" fillId="17" borderId="11" xfId="1" applyFont="1" applyFill="1" applyBorder="1" applyAlignment="1">
      <alignment horizontal="center" vertical="center" wrapText="1"/>
    </xf>
    <xf numFmtId="0" fontId="18" fillId="17" borderId="13"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0"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5" xfId="1" applyFont="1" applyBorder="1" applyAlignment="1">
      <alignment horizontal="center" vertical="center" wrapText="1"/>
    </xf>
    <xf numFmtId="0" fontId="29" fillId="0" borderId="14"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8" xfId="1" applyFont="1" applyBorder="1" applyAlignment="1">
      <alignment horizontal="center" vertical="center" wrapText="1"/>
    </xf>
    <xf numFmtId="0" fontId="29" fillId="0" borderId="20" xfId="1" applyFont="1" applyBorder="1" applyAlignment="1">
      <alignment horizontal="center" vertical="center" wrapText="1"/>
    </xf>
    <xf numFmtId="0" fontId="18" fillId="0" borderId="29" xfId="1" applyFont="1" applyBorder="1" applyAlignment="1">
      <alignment horizontal="center" vertical="center" wrapText="1"/>
    </xf>
    <xf numFmtId="0" fontId="29" fillId="0" borderId="24" xfId="1" applyFont="1" applyBorder="1" applyAlignment="1">
      <alignment horizontal="center" vertical="center" wrapText="1"/>
    </xf>
    <xf numFmtId="0" fontId="29" fillId="0" borderId="29"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1" fillId="0" borderId="13" xfId="1" applyBorder="1"/>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0" xfId="1" applyFont="1" applyAlignment="1">
      <alignment horizontal="center" vertical="center" wrapText="1"/>
    </xf>
    <xf numFmtId="0" fontId="9" fillId="0" borderId="24" xfId="1" applyFont="1" applyBorder="1" applyAlignment="1">
      <alignment horizontal="center" vertical="center" wrapText="1"/>
    </xf>
    <xf numFmtId="0" fontId="9" fillId="0" borderId="0" xfId="1" applyFont="1" applyAlignment="1">
      <alignment horizontal="center" vertical="center" wrapText="1"/>
    </xf>
    <xf numFmtId="0" fontId="9" fillId="0" borderId="19" xfId="1" applyFont="1" applyBorder="1" applyAlignment="1">
      <alignment horizontal="center" vertical="center" wrapText="1"/>
    </xf>
    <xf numFmtId="0" fontId="9" fillId="17" borderId="14" xfId="1" applyFont="1" applyFill="1" applyBorder="1" applyAlignment="1">
      <alignment horizontal="center" vertical="center" wrapText="1"/>
    </xf>
    <xf numFmtId="0" fontId="9" fillId="17" borderId="17" xfId="1" applyFont="1" applyFill="1" applyBorder="1" applyAlignment="1">
      <alignment horizontal="center" vertical="center" wrapText="1"/>
    </xf>
    <xf numFmtId="0" fontId="9" fillId="17" borderId="18" xfId="1" applyFont="1" applyFill="1" applyBorder="1" applyAlignment="1">
      <alignment horizontal="center" vertical="center" wrapText="1"/>
    </xf>
    <xf numFmtId="0" fontId="9" fillId="17" borderId="20" xfId="1" applyFont="1" applyFill="1" applyBorder="1" applyAlignment="1">
      <alignment horizontal="center" vertical="center" wrapText="1"/>
    </xf>
    <xf numFmtId="0" fontId="9" fillId="0" borderId="16" xfId="1" applyFont="1" applyBorder="1" applyAlignment="1">
      <alignment horizontal="center" vertical="center" wrapText="1"/>
    </xf>
    <xf numFmtId="0" fontId="18" fillId="0" borderId="11"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59" fillId="18" borderId="14" xfId="1" applyFont="1" applyFill="1" applyBorder="1" applyAlignment="1">
      <alignment horizontal="center" vertical="center" wrapText="1"/>
    </xf>
    <xf numFmtId="0" fontId="59" fillId="18" borderId="16" xfId="1" applyFont="1" applyFill="1" applyBorder="1" applyAlignment="1">
      <alignment horizontal="center" vertical="center" wrapText="1"/>
    </xf>
    <xf numFmtId="0" fontId="59" fillId="18" borderId="17" xfId="1" applyFont="1" applyFill="1" applyBorder="1" applyAlignment="1">
      <alignment horizontal="center" vertical="center" wrapText="1"/>
    </xf>
    <xf numFmtId="0" fontId="59" fillId="18" borderId="18" xfId="1" applyFont="1" applyFill="1" applyBorder="1" applyAlignment="1">
      <alignment horizontal="center" vertical="center" wrapText="1"/>
    </xf>
    <xf numFmtId="0" fontId="59" fillId="18" borderId="19" xfId="1" applyFont="1" applyFill="1" applyBorder="1" applyAlignment="1">
      <alignment horizontal="center" vertical="center" wrapText="1"/>
    </xf>
    <xf numFmtId="0" fontId="59" fillId="18" borderId="20" xfId="1" applyFont="1" applyFill="1" applyBorder="1" applyAlignment="1">
      <alignment horizontal="center" vertical="center" wrapText="1"/>
    </xf>
    <xf numFmtId="0" fontId="59" fillId="18" borderId="11" xfId="1" applyFont="1" applyFill="1" applyBorder="1" applyAlignment="1">
      <alignment horizontal="center" vertical="center" wrapText="1"/>
    </xf>
    <xf numFmtId="0" fontId="59" fillId="18" borderId="13" xfId="1" applyFont="1" applyFill="1" applyBorder="1" applyAlignment="1">
      <alignment horizontal="center" vertical="center" wrapText="1"/>
    </xf>
    <xf numFmtId="0" fontId="19" fillId="0" borderId="14"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18" xfId="1" applyFont="1" applyBorder="1" applyAlignment="1">
      <alignment horizontal="center" vertical="center" wrapText="1"/>
    </xf>
    <xf numFmtId="0" fontId="19" fillId="0" borderId="20" xfId="1" applyFont="1" applyBorder="1" applyAlignment="1">
      <alignment horizontal="center" vertical="center" wrapText="1"/>
    </xf>
    <xf numFmtId="0" fontId="19" fillId="3" borderId="14" xfId="1" applyFont="1" applyFill="1" applyBorder="1" applyAlignment="1">
      <alignment horizontal="center" vertical="center" wrapText="1"/>
    </xf>
    <xf numFmtId="0" fontId="19" fillId="3" borderId="17" xfId="1" applyFont="1" applyFill="1" applyBorder="1" applyAlignment="1">
      <alignment horizontal="center" vertical="center" wrapText="1"/>
    </xf>
    <xf numFmtId="0" fontId="19" fillId="3" borderId="24"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29" xfId="1" applyFont="1" applyFill="1" applyBorder="1" applyAlignment="1">
      <alignment horizontal="center" vertical="center" wrapText="1"/>
    </xf>
    <xf numFmtId="0" fontId="19" fillId="3" borderId="18" xfId="1" applyFont="1" applyFill="1" applyBorder="1" applyAlignment="1">
      <alignment horizontal="center" vertical="center" wrapText="1"/>
    </xf>
    <xf numFmtId="0" fontId="19" fillId="3" borderId="20" xfId="1" applyFont="1" applyFill="1" applyBorder="1" applyAlignment="1">
      <alignment horizontal="center" vertical="center" wrapText="1"/>
    </xf>
    <xf numFmtId="0" fontId="18" fillId="18" borderId="14"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24" xfId="1" applyFont="1" applyFill="1" applyBorder="1" applyAlignment="1">
      <alignment horizontal="center" vertical="center" wrapText="1"/>
    </xf>
    <xf numFmtId="0" fontId="18" fillId="18" borderId="29" xfId="1" applyFont="1" applyFill="1" applyBorder="1" applyAlignment="1">
      <alignment horizontal="center" vertical="center" wrapText="1"/>
    </xf>
    <xf numFmtId="0" fontId="18" fillId="18" borderId="18" xfId="1" applyFont="1" applyFill="1" applyBorder="1" applyAlignment="1">
      <alignment horizontal="center" vertical="center" wrapText="1"/>
    </xf>
    <xf numFmtId="0" fontId="18" fillId="18" borderId="20" xfId="1" applyFont="1" applyFill="1" applyBorder="1" applyAlignment="1">
      <alignment horizontal="center" vertical="center" wrapText="1"/>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18" fillId="17" borderId="12" xfId="1" applyFont="1" applyFill="1" applyBorder="1" applyAlignment="1">
      <alignment horizontal="center" vertical="center" wrapText="1"/>
    </xf>
    <xf numFmtId="0" fontId="2" fillId="0" borderId="0" xfId="1" applyFont="1" applyAlignment="1">
      <alignment horizontal="center" vertical="center"/>
    </xf>
    <xf numFmtId="0" fontId="47" fillId="0" borderId="0" xfId="1" applyFont="1" applyAlignment="1">
      <alignment horizontal="center"/>
    </xf>
    <xf numFmtId="0" fontId="35" fillId="0" borderId="2" xfId="1" applyFont="1" applyBorder="1" applyAlignment="1">
      <alignment horizontal="center" vertical="center"/>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9" fillId="0" borderId="0" xfId="1" applyFont="1" applyAlignment="1">
      <alignment horizontal="center" vertical="center"/>
    </xf>
    <xf numFmtId="0" fontId="25" fillId="0" borderId="0" xfId="1" applyFont="1" applyAlignment="1">
      <alignment horizontal="center" vertical="center"/>
    </xf>
    <xf numFmtId="0" fontId="35" fillId="0" borderId="45" xfId="1" applyFont="1" applyBorder="1" applyAlignment="1">
      <alignment horizontal="center" vertical="center"/>
    </xf>
    <xf numFmtId="0" fontId="35" fillId="0" borderId="30" xfId="1" applyFont="1" applyBorder="1" applyAlignment="1">
      <alignment horizontal="center" vertical="center"/>
    </xf>
    <xf numFmtId="0" fontId="35" fillId="0" borderId="46" xfId="1" applyFont="1" applyBorder="1" applyAlignment="1">
      <alignment horizontal="center" vertical="center"/>
    </xf>
    <xf numFmtId="0" fontId="35" fillId="0" borderId="2" xfId="1" applyFont="1" applyBorder="1" applyAlignment="1">
      <alignment horizontal="center" vertical="center" wrapText="1"/>
    </xf>
    <xf numFmtId="0" fontId="2" fillId="0" borderId="0" xfId="1" applyFont="1" applyAlignment="1">
      <alignment horizontal="center"/>
    </xf>
    <xf numFmtId="0" fontId="2" fillId="8" borderId="0" xfId="1" applyFont="1" applyFill="1" applyAlignment="1">
      <alignment horizontal="center"/>
    </xf>
    <xf numFmtId="49" fontId="36" fillId="0" borderId="2" xfId="1" applyNumberFormat="1" applyFont="1" applyBorder="1" applyAlignment="1">
      <alignment horizontal="center" vertical="center" wrapText="1"/>
    </xf>
    <xf numFmtId="0" fontId="32" fillId="0" borderId="0" xfId="1" applyFont="1" applyAlignment="1">
      <alignment horizontal="center" vertical="center"/>
    </xf>
    <xf numFmtId="0" fontId="38" fillId="0" borderId="0" xfId="1" applyFont="1" applyAlignment="1">
      <alignment horizontal="center" vertical="center"/>
    </xf>
    <xf numFmtId="0" fontId="9" fillId="8" borderId="0" xfId="1" applyFont="1" applyFill="1" applyAlignment="1">
      <alignment horizontal="center" vertical="center" wrapText="1"/>
    </xf>
    <xf numFmtId="165" fontId="32" fillId="0" borderId="46" xfId="13" applyFont="1" applyBorder="1" applyAlignment="1">
      <alignment horizontal="center" vertical="center" wrapText="1"/>
    </xf>
    <xf numFmtId="165" fontId="32" fillId="0" borderId="2" xfId="13" applyFont="1" applyBorder="1" applyAlignment="1">
      <alignment horizontal="center" vertical="center"/>
    </xf>
    <xf numFmtId="0" fontId="9" fillId="8" borderId="0" xfId="1" applyFont="1" applyFill="1" applyAlignment="1">
      <alignment horizontal="center" vertical="center"/>
    </xf>
    <xf numFmtId="0" fontId="2" fillId="0" borderId="2" xfId="1" applyFont="1" applyBorder="1" applyAlignment="1">
      <alignment horizontal="center" vertical="center"/>
    </xf>
    <xf numFmtId="0" fontId="27" fillId="0" borderId="45" xfId="1" applyFont="1" applyBorder="1" applyAlignment="1">
      <alignment horizontal="center" vertical="center" wrapText="1"/>
    </xf>
    <xf numFmtId="0" fontId="27" fillId="0" borderId="30" xfId="1" applyFont="1" applyBorder="1" applyAlignment="1">
      <alignment horizontal="center" vertical="center" wrapText="1"/>
    </xf>
    <xf numFmtId="0" fontId="27" fillId="0" borderId="46" xfId="1" applyFont="1" applyBorder="1" applyAlignment="1">
      <alignment horizontal="center" vertical="center" wrapText="1"/>
    </xf>
    <xf numFmtId="0" fontId="24" fillId="0" borderId="45" xfId="1" applyFont="1" applyBorder="1" applyAlignment="1">
      <alignment horizontal="center" vertical="center" wrapText="1"/>
    </xf>
    <xf numFmtId="0" fontId="24" fillId="0" borderId="30" xfId="1" applyFont="1" applyBorder="1" applyAlignment="1">
      <alignment horizontal="center" vertical="center" wrapText="1"/>
    </xf>
    <xf numFmtId="0" fontId="24" fillId="0" borderId="46" xfId="1" applyFont="1" applyBorder="1" applyAlignment="1">
      <alignment horizontal="center" vertical="center" wrapText="1"/>
    </xf>
    <xf numFmtId="0" fontId="18" fillId="4" borderId="15" xfId="1" applyFont="1" applyFill="1" applyBorder="1" applyAlignment="1">
      <alignment horizontal="center" vertical="center"/>
    </xf>
    <xf numFmtId="0" fontId="18" fillId="4" borderId="21" xfId="1" applyFont="1" applyFill="1" applyBorder="1" applyAlignment="1">
      <alignment horizontal="center" vertical="center"/>
    </xf>
    <xf numFmtId="0" fontId="18" fillId="5" borderId="14" xfId="1" applyFont="1" applyFill="1" applyBorder="1" applyAlignment="1">
      <alignment horizontal="center" vertical="center" wrapText="1"/>
    </xf>
    <xf numFmtId="0" fontId="18" fillId="5" borderId="16" xfId="1" applyFont="1" applyFill="1" applyBorder="1" applyAlignment="1">
      <alignment horizontal="center" vertical="center" wrapText="1"/>
    </xf>
    <xf numFmtId="0" fontId="18" fillId="5" borderId="17" xfId="1" applyFont="1" applyFill="1" applyBorder="1" applyAlignment="1">
      <alignment horizontal="center" vertical="center" wrapText="1"/>
    </xf>
    <xf numFmtId="0" fontId="18" fillId="5" borderId="18" xfId="1" applyFont="1" applyFill="1" applyBorder="1" applyAlignment="1">
      <alignment horizontal="center" vertical="center" wrapText="1"/>
    </xf>
    <xf numFmtId="0" fontId="18" fillId="5" borderId="19" xfId="1" applyFont="1" applyFill="1" applyBorder="1" applyAlignment="1">
      <alignment horizontal="center" vertical="center" wrapText="1"/>
    </xf>
    <xf numFmtId="0" fontId="18" fillId="5" borderId="20"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8" fillId="5" borderId="11" xfId="1" applyFont="1" applyFill="1" applyBorder="1" applyAlignment="1">
      <alignment horizontal="center" vertical="center" wrapText="1"/>
    </xf>
    <xf numFmtId="0" fontId="18" fillId="5" borderId="12" xfId="1" applyFont="1" applyFill="1" applyBorder="1" applyAlignment="1">
      <alignment horizontal="center" vertical="center" wrapText="1"/>
    </xf>
    <xf numFmtId="0" fontId="18" fillId="5" borderId="13" xfId="1" applyFont="1" applyFill="1" applyBorder="1" applyAlignment="1">
      <alignment horizontal="center" vertical="center" wrapText="1"/>
    </xf>
    <xf numFmtId="0" fontId="59" fillId="5" borderId="18" xfId="1" applyFont="1" applyFill="1" applyBorder="1" applyAlignment="1">
      <alignment horizontal="center" vertical="center" wrapText="1"/>
    </xf>
    <xf numFmtId="0" fontId="59" fillId="5" borderId="19" xfId="1" applyFont="1" applyFill="1" applyBorder="1" applyAlignment="1">
      <alignment horizontal="center" vertical="center" wrapText="1"/>
    </xf>
    <xf numFmtId="0" fontId="59" fillId="5" borderId="20" xfId="1" applyFont="1" applyFill="1" applyBorder="1" applyAlignment="1">
      <alignment horizontal="center" vertical="center" wrapText="1"/>
    </xf>
    <xf numFmtId="0" fontId="9" fillId="0" borderId="0" xfId="1" applyFont="1" applyAlignment="1">
      <alignment horizontal="center"/>
    </xf>
    <xf numFmtId="0" fontId="2" fillId="0" borderId="0" xfId="1" applyFont="1" applyAlignment="1">
      <alignment horizontal="center" wrapText="1"/>
    </xf>
    <xf numFmtId="0" fontId="98" fillId="0" borderId="0" xfId="0" applyFont="1" applyAlignment="1">
      <alignment horizontal="center" vertical="center" wrapText="1"/>
    </xf>
    <xf numFmtId="0" fontId="99" fillId="0" borderId="0" xfId="0" applyFont="1"/>
    <xf numFmtId="4" fontId="98" fillId="27" borderId="2" xfId="0" applyNumberFormat="1" applyFont="1" applyFill="1" applyBorder="1" applyAlignment="1">
      <alignment horizontal="center" vertical="center"/>
    </xf>
    <xf numFmtId="4" fontId="98" fillId="27" borderId="2" xfId="0" applyNumberFormat="1" applyFont="1" applyFill="1" applyBorder="1" applyAlignment="1">
      <alignment vertical="center"/>
    </xf>
    <xf numFmtId="0" fontId="99" fillId="0" borderId="0" xfId="0" applyFont="1" applyAlignment="1">
      <alignment horizontal="center" vertical="center"/>
    </xf>
    <xf numFmtId="0" fontId="99" fillId="0" borderId="0" xfId="0" applyFont="1" applyFill="1" applyAlignment="1">
      <alignment horizontal="center" vertical="center"/>
    </xf>
    <xf numFmtId="0" fontId="101" fillId="0" borderId="0" xfId="0" applyFont="1" applyFill="1" applyAlignment="1">
      <alignment horizontal="center" vertical="center"/>
    </xf>
    <xf numFmtId="0" fontId="101" fillId="0" borderId="0" xfId="0" applyFont="1" applyFill="1" applyAlignment="1">
      <alignment horizontal="right"/>
    </xf>
    <xf numFmtId="0" fontId="102" fillId="0" borderId="2" xfId="0" applyFont="1" applyBorder="1" applyAlignment="1">
      <alignment horizontal="center" vertical="center" wrapText="1"/>
    </xf>
    <xf numFmtId="0" fontId="102" fillId="0" borderId="8" xfId="0" applyFont="1" applyBorder="1" applyAlignment="1">
      <alignment horizontal="center" vertical="center" wrapText="1"/>
    </xf>
    <xf numFmtId="0" fontId="102" fillId="0" borderId="2" xfId="0" applyFont="1" applyBorder="1" applyAlignment="1">
      <alignment horizontal="center" vertical="center"/>
    </xf>
    <xf numFmtId="0" fontId="102" fillId="0" borderId="63" xfId="0" applyFont="1" applyBorder="1" applyAlignment="1">
      <alignment horizontal="center" vertical="center" wrapText="1"/>
    </xf>
    <xf numFmtId="0" fontId="102" fillId="0" borderId="45" xfId="0" applyFont="1" applyBorder="1" applyAlignment="1">
      <alignment horizontal="center" vertical="center"/>
    </xf>
    <xf numFmtId="0" fontId="102" fillId="0" borderId="30" xfId="0" applyFont="1" applyBorder="1" applyAlignment="1">
      <alignment horizontal="center" vertical="center"/>
    </xf>
    <xf numFmtId="0" fontId="102" fillId="0" borderId="46" xfId="0" applyFont="1" applyBorder="1" applyAlignment="1">
      <alignment horizontal="center" vertical="center"/>
    </xf>
    <xf numFmtId="0" fontId="102" fillId="0" borderId="9" xfId="0" applyFont="1" applyBorder="1" applyAlignment="1">
      <alignment horizontal="center" vertical="center" wrapText="1"/>
    </xf>
    <xf numFmtId="0" fontId="102" fillId="0" borderId="2" xfId="0" applyFont="1" applyBorder="1" applyAlignment="1">
      <alignment horizontal="center" vertical="center" wrapText="1"/>
    </xf>
    <xf numFmtId="0" fontId="102" fillId="0" borderId="2" xfId="0" applyFont="1" applyFill="1" applyBorder="1" applyAlignment="1">
      <alignment horizontal="center" vertical="center" wrapText="1"/>
    </xf>
    <xf numFmtId="0" fontId="99" fillId="18" borderId="2" xfId="0" applyFont="1" applyFill="1" applyBorder="1" applyAlignment="1">
      <alignment horizontal="left" indent="1"/>
    </xf>
    <xf numFmtId="4" fontId="100" fillId="18" borderId="2" xfId="0" applyNumberFormat="1" applyFont="1" applyFill="1" applyBorder="1" applyAlignment="1">
      <alignment horizontal="center"/>
    </xf>
    <xf numFmtId="4" fontId="100" fillId="18" borderId="2" xfId="0" applyNumberFormat="1" applyFont="1" applyFill="1" applyBorder="1"/>
    <xf numFmtId="4" fontId="100" fillId="18" borderId="2" xfId="0" applyNumberFormat="1" applyFont="1" applyFill="1" applyBorder="1" applyAlignment="1">
      <alignment horizontal="center" vertical="center"/>
    </xf>
    <xf numFmtId="4" fontId="100" fillId="18" borderId="2" xfId="13" applyNumberFormat="1" applyFont="1" applyFill="1" applyBorder="1"/>
    <xf numFmtId="174" fontId="102" fillId="18" borderId="2" xfId="13" applyNumberFormat="1" applyFont="1" applyFill="1" applyBorder="1" applyAlignment="1">
      <alignment horizontal="center" vertical="center"/>
    </xf>
    <xf numFmtId="0" fontId="99" fillId="17" borderId="2" xfId="0" applyFont="1" applyFill="1" applyBorder="1" applyAlignment="1">
      <alignment horizontal="left" indent="1"/>
    </xf>
    <xf numFmtId="4" fontId="100" fillId="17" borderId="2" xfId="0" applyNumberFormat="1" applyFont="1" applyFill="1" applyBorder="1" applyAlignment="1">
      <alignment horizontal="center"/>
    </xf>
    <xf numFmtId="4" fontId="100" fillId="17" borderId="2" xfId="0" applyNumberFormat="1" applyFont="1" applyFill="1" applyBorder="1"/>
    <xf numFmtId="4" fontId="100" fillId="17" borderId="2" xfId="13" applyNumberFormat="1" applyFont="1" applyFill="1" applyBorder="1"/>
    <xf numFmtId="174" fontId="102" fillId="0" borderId="2" xfId="13" applyNumberFormat="1" applyFont="1" applyFill="1" applyBorder="1" applyAlignment="1">
      <alignment horizontal="center" vertical="center"/>
    </xf>
    <xf numFmtId="4" fontId="100" fillId="17" borderId="2" xfId="0" applyNumberFormat="1" applyFont="1" applyFill="1" applyBorder="1" applyAlignment="1">
      <alignment horizontal="right"/>
    </xf>
    <xf numFmtId="4" fontId="100" fillId="17" borderId="2" xfId="13" applyNumberFormat="1" applyFont="1" applyFill="1" applyBorder="1" applyAlignment="1">
      <alignment horizontal="right"/>
    </xf>
    <xf numFmtId="0" fontId="99" fillId="4" borderId="2" xfId="0" applyFont="1" applyFill="1" applyBorder="1" applyAlignment="1">
      <alignment horizontal="center" vertical="center"/>
    </xf>
    <xf numFmtId="4" fontId="98" fillId="4" borderId="2" xfId="0" applyNumberFormat="1" applyFont="1" applyFill="1" applyBorder="1" applyAlignment="1">
      <alignment horizontal="center" vertical="center"/>
    </xf>
    <xf numFmtId="174" fontId="101" fillId="4" borderId="2" xfId="13" applyNumberFormat="1" applyFont="1" applyFill="1" applyBorder="1" applyAlignment="1">
      <alignment horizontal="center" vertical="center"/>
    </xf>
    <xf numFmtId="0" fontId="99" fillId="18" borderId="2" xfId="0" applyFont="1" applyFill="1" applyBorder="1" applyAlignment="1">
      <alignment horizontal="left" vertical="center" wrapText="1" indent="2"/>
    </xf>
    <xf numFmtId="4" fontId="98" fillId="18" borderId="2" xfId="0" applyNumberFormat="1" applyFont="1" applyFill="1" applyBorder="1" applyAlignment="1">
      <alignment horizontal="center" vertical="center"/>
    </xf>
    <xf numFmtId="174" fontId="101" fillId="18" borderId="2" xfId="13" applyNumberFormat="1" applyFont="1" applyFill="1" applyBorder="1" applyAlignment="1">
      <alignment horizontal="center" vertical="center"/>
    </xf>
    <xf numFmtId="0" fontId="99" fillId="28" borderId="2" xfId="0" applyFont="1" applyFill="1" applyBorder="1" applyAlignment="1">
      <alignment horizontal="left" indent="1"/>
    </xf>
    <xf numFmtId="4" fontId="100" fillId="28" borderId="2" xfId="0" applyNumberFormat="1" applyFont="1" applyFill="1" applyBorder="1" applyAlignment="1">
      <alignment horizontal="center"/>
    </xf>
    <xf numFmtId="4" fontId="100" fillId="28" borderId="2" xfId="0" applyNumberFormat="1" applyFont="1" applyFill="1" applyBorder="1"/>
    <xf numFmtId="4" fontId="100" fillId="28" borderId="2" xfId="0" applyNumberFormat="1" applyFont="1" applyFill="1" applyBorder="1" applyAlignment="1">
      <alignment horizontal="center" vertical="center"/>
    </xf>
    <xf numFmtId="4" fontId="100" fillId="28" borderId="2" xfId="13" applyNumberFormat="1" applyFont="1" applyFill="1" applyBorder="1"/>
    <xf numFmtId="174" fontId="102" fillId="28" borderId="2" xfId="13" applyNumberFormat="1" applyFont="1" applyFill="1" applyBorder="1" applyAlignment="1">
      <alignment horizontal="center" vertical="center"/>
    </xf>
    <xf numFmtId="0" fontId="99" fillId="29" borderId="2" xfId="0" applyFont="1" applyFill="1" applyBorder="1" applyAlignment="1">
      <alignment horizontal="left" indent="2"/>
    </xf>
    <xf numFmtId="4" fontId="98" fillId="29" borderId="2" xfId="0" applyNumberFormat="1" applyFont="1" applyFill="1" applyBorder="1" applyAlignment="1">
      <alignment horizontal="center"/>
    </xf>
    <xf numFmtId="4" fontId="98" fillId="29" borderId="2" xfId="0" applyNumberFormat="1" applyFont="1" applyFill="1" applyBorder="1"/>
    <xf numFmtId="4" fontId="98" fillId="29" borderId="2" xfId="0" applyNumberFormat="1" applyFont="1" applyFill="1" applyBorder="1" applyAlignment="1">
      <alignment horizontal="center" vertical="center"/>
    </xf>
    <xf numFmtId="174" fontId="101" fillId="29" borderId="2" xfId="13" applyNumberFormat="1" applyFont="1" applyFill="1" applyBorder="1" applyAlignment="1">
      <alignment horizontal="center" vertical="center"/>
    </xf>
    <xf numFmtId="0" fontId="99" fillId="0" borderId="45" xfId="0" applyFont="1" applyFill="1" applyBorder="1" applyAlignment="1">
      <alignment horizontal="center"/>
    </xf>
    <xf numFmtId="0" fontId="99" fillId="0" borderId="30" xfId="0" applyFont="1" applyFill="1" applyBorder="1" applyAlignment="1">
      <alignment horizontal="center"/>
    </xf>
    <xf numFmtId="0" fontId="99" fillId="0" borderId="46" xfId="0" applyFont="1" applyFill="1" applyBorder="1" applyAlignment="1">
      <alignment horizontal="center"/>
    </xf>
    <xf numFmtId="0" fontId="99" fillId="27" borderId="2" xfId="0" applyFont="1" applyFill="1" applyBorder="1" applyAlignment="1">
      <alignment horizontal="left" indent="2"/>
    </xf>
    <xf numFmtId="174" fontId="101" fillId="27" borderId="2" xfId="13" applyNumberFormat="1" applyFont="1" applyFill="1" applyBorder="1" applyAlignment="1">
      <alignment horizontal="center" vertical="center"/>
    </xf>
  </cellXfs>
  <cellStyles count="33">
    <cellStyle name="ex58" xfId="31"/>
    <cellStyle name="ex58 2" xfId="15"/>
    <cellStyle name="ex60" xfId="5"/>
    <cellStyle name="ex61" xfId="6"/>
    <cellStyle name="ex62" xfId="7"/>
    <cellStyle name="ex63" xfId="8"/>
    <cellStyle name="ex65" xfId="9"/>
    <cellStyle name="ex66" xfId="28"/>
    <cellStyle name="ex66 3" xfId="10"/>
    <cellStyle name="ex67" xfId="11"/>
    <cellStyle name="ex68" xfId="12"/>
    <cellStyle name="ex73" xfId="16"/>
    <cellStyle name="st40" xfId="26"/>
    <cellStyle name="xl_top_header" xfId="3"/>
    <cellStyle name="xl_top_left_header" xfId="2"/>
    <cellStyle name="xl28" xfId="30"/>
    <cellStyle name="xl38" xfId="17"/>
    <cellStyle name="xl39" xfId="19"/>
    <cellStyle name="xl42" xfId="23"/>
    <cellStyle name="xl42 3" xfId="24"/>
    <cellStyle name="xl44 3" xfId="20"/>
    <cellStyle name="Обычный" xfId="0" builtinId="0"/>
    <cellStyle name="Обычный 2" xfId="1"/>
    <cellStyle name="Обычный_Нераспределенная  субсидия" xfId="18"/>
    <cellStyle name="Обычный_Нераспределенные  иные  МБТ" xfId="14"/>
    <cellStyle name="Обычный_Проверочная  таблица  к  отчету" xfId="25"/>
    <cellStyle name="Обычный_Проверочная  таблица  к  отчету_1" xfId="27"/>
    <cellStyle name="Обычный_Проверочная  таблица  к  отчету_2" xfId="29"/>
    <cellStyle name="Обычный_Субвенция  на  полномочия" xfId="21"/>
    <cellStyle name="Обычный_Субвенция  на  полномочия_факт" xfId="22"/>
    <cellStyle name="Финансовый" xfId="32" builtinId="3"/>
    <cellStyle name="Финансовый 10" xfId="4"/>
    <cellStyle name="Финансовый 2" xfId="13"/>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Raygroup\2024%20%20&#1043;&#1054;&#1044;\&#1052;&#1077;&#1078;&#1073;&#1102;&#1076;&#1078;&#1077;&#1090;&#1085;&#1099;&#1077;%20%20&#1090;&#1088;&#1072;&#1085;&#1089;&#1092;&#1077;&#1088;&#1090;&#1099;%20%202024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Raygroup\2024%20%20&#1043;&#1054;&#1044;\&#1052;&#1077;&#1078;&#1073;&#1102;&#1076;&#1078;&#1077;&#1090;&#1085;&#1099;&#1077;%20%20&#1090;&#1088;&#1072;&#1085;&#1089;&#1092;&#1077;&#1088;&#1090;&#1099;%20%202024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_план"/>
      <sheetName val="Приложение на выравнив._МР_факт"/>
      <sheetName val="Приложение на выравнив._БП_план"/>
      <sheetName val="Приложение на выравнив._БП_факт"/>
      <sheetName val="Приложение на сбаланс._БП_план"/>
      <sheetName val="Приложение по субвенции_МР_план"/>
      <sheetName val="Вставка  в  закон_2024"/>
      <sheetName val="Вставка  в  закон_2025-2026"/>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9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январь"/>
      <sheetName val="Приложение  по  субсидии_март"/>
      <sheetName val="Приложение  по  субсидии_май"/>
      <sheetName val="Приложение  по  субсидии_июнь"/>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9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 по субвенции_МР_план"/>
      <sheetName val="Приложен. по субвенции_МР_факт"/>
      <sheetName val="Дотация  поселениям_2024 - 2026"/>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3 - 2024"/>
      <sheetName val="МБТ  2023 - 2024_2"/>
      <sheetName val="Дотация  ОМС"/>
      <sheetName val="Итоги 2024-2026_для закона_план"/>
      <sheetName val="Итоги 2024-2026_для закона_ (2)"/>
      <sheetName val="Итоги 2024-2026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s>
    <sheetDataSet>
      <sheetData sheetId="0" refreshError="1"/>
      <sheetData sheetId="1" refreshError="1"/>
      <sheetData sheetId="2">
        <row r="11">
          <cell r="E11">
            <v>158003.87700000001</v>
          </cell>
        </row>
      </sheetData>
      <sheetData sheetId="3">
        <row r="11">
          <cell r="BF11">
            <v>0</v>
          </cell>
        </row>
        <row r="36">
          <cell r="P36">
            <v>3159206.3140000002</v>
          </cell>
          <cell r="Q36">
            <v>508417.69999999995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6">
          <cell r="C16">
            <v>0</v>
          </cell>
        </row>
      </sheetData>
      <sheetData sheetId="68">
        <row r="16">
          <cell r="C16">
            <v>0</v>
          </cell>
        </row>
      </sheetData>
      <sheetData sheetId="69" refreshError="1"/>
      <sheetData sheetId="70">
        <row r="8">
          <cell r="G8">
            <v>0</v>
          </cell>
          <cell r="K8">
            <v>0</v>
          </cell>
          <cell r="M8">
            <v>158003877</v>
          </cell>
          <cell r="Q8">
            <v>0</v>
          </cell>
          <cell r="S8">
            <v>0</v>
          </cell>
          <cell r="W8">
            <v>0</v>
          </cell>
          <cell r="AC8">
            <v>900000</v>
          </cell>
        </row>
        <row r="9">
          <cell r="G9">
            <v>125442757.40000001</v>
          </cell>
          <cell r="K9">
            <v>77677149</v>
          </cell>
          <cell r="M9">
            <v>32146566</v>
          </cell>
          <cell r="Q9">
            <v>0</v>
          </cell>
          <cell r="S9">
            <v>36347584</v>
          </cell>
          <cell r="W9">
            <v>10889790</v>
          </cell>
          <cell r="Y9">
            <v>397800</v>
          </cell>
          <cell r="AA9">
            <v>1200000</v>
          </cell>
          <cell r="AC9">
            <v>1700000</v>
          </cell>
          <cell r="AE9">
            <v>900000</v>
          </cell>
        </row>
        <row r="10">
          <cell r="G10">
            <v>15619336.09</v>
          </cell>
          <cell r="K10">
            <v>2418496</v>
          </cell>
          <cell r="M10">
            <v>51645019</v>
          </cell>
          <cell r="Q10">
            <v>80000000</v>
          </cell>
          <cell r="S10">
            <v>84102464</v>
          </cell>
          <cell r="W10">
            <v>47812879</v>
          </cell>
          <cell r="Y10">
            <v>82875</v>
          </cell>
        </row>
        <row r="11">
          <cell r="G11">
            <v>32179313.73</v>
          </cell>
          <cell r="K11">
            <v>0</v>
          </cell>
          <cell r="M11">
            <v>21614223</v>
          </cell>
          <cell r="Q11">
            <v>0</v>
          </cell>
          <cell r="S11">
            <v>141544673</v>
          </cell>
          <cell r="W11">
            <v>0</v>
          </cell>
          <cell r="Y11">
            <v>671925</v>
          </cell>
          <cell r="AA11">
            <v>1500000</v>
          </cell>
        </row>
        <row r="12">
          <cell r="G12">
            <v>0</v>
          </cell>
          <cell r="K12">
            <v>0</v>
          </cell>
          <cell r="M12">
            <v>245688949</v>
          </cell>
          <cell r="Q12">
            <v>31580000</v>
          </cell>
          <cell r="S12">
            <v>0</v>
          </cell>
          <cell r="W12">
            <v>0</v>
          </cell>
          <cell r="AA12">
            <v>300000</v>
          </cell>
        </row>
        <row r="13">
          <cell r="G13">
            <v>21484982.349999998</v>
          </cell>
          <cell r="K13">
            <v>0</v>
          </cell>
          <cell r="M13">
            <v>24203203</v>
          </cell>
          <cell r="Q13">
            <v>0</v>
          </cell>
          <cell r="S13">
            <v>23720250</v>
          </cell>
          <cell r="W13">
            <v>0</v>
          </cell>
          <cell r="Y13">
            <v>545700</v>
          </cell>
          <cell r="AA13">
            <v>300000</v>
          </cell>
          <cell r="AC13">
            <v>700000</v>
          </cell>
        </row>
        <row r="14">
          <cell r="G14">
            <v>41624014.210000001</v>
          </cell>
          <cell r="K14">
            <v>0</v>
          </cell>
          <cell r="M14">
            <v>30656877</v>
          </cell>
          <cell r="Q14">
            <v>0</v>
          </cell>
          <cell r="S14">
            <v>28146982</v>
          </cell>
          <cell r="W14">
            <v>0</v>
          </cell>
          <cell r="Y14">
            <v>1070575</v>
          </cell>
          <cell r="AA14">
            <v>300000</v>
          </cell>
        </row>
        <row r="15">
          <cell r="G15">
            <v>53609761.189999998</v>
          </cell>
          <cell r="K15">
            <v>20123666.959999997</v>
          </cell>
          <cell r="M15">
            <v>59630205</v>
          </cell>
          <cell r="Q15">
            <v>21000000</v>
          </cell>
          <cell r="S15">
            <v>76246953</v>
          </cell>
          <cell r="W15">
            <v>18399391</v>
          </cell>
          <cell r="AC15">
            <v>500000</v>
          </cell>
          <cell r="AE15">
            <v>1500000</v>
          </cell>
        </row>
        <row r="16">
          <cell r="G16">
            <v>0</v>
          </cell>
          <cell r="K16">
            <v>0</v>
          </cell>
          <cell r="M16">
            <v>185528920</v>
          </cell>
          <cell r="Q16">
            <v>0</v>
          </cell>
          <cell r="S16">
            <v>0</v>
          </cell>
          <cell r="W16">
            <v>0</v>
          </cell>
        </row>
        <row r="17">
          <cell r="G17">
            <v>8135482.1899999995</v>
          </cell>
          <cell r="K17">
            <v>0</v>
          </cell>
          <cell r="M17">
            <v>17781373</v>
          </cell>
          <cell r="Q17">
            <v>0</v>
          </cell>
          <cell r="S17">
            <v>24760227</v>
          </cell>
          <cell r="W17">
            <v>0</v>
          </cell>
          <cell r="Y17">
            <v>1243125</v>
          </cell>
        </row>
        <row r="18">
          <cell r="G18">
            <v>26240093.02</v>
          </cell>
          <cell r="K18">
            <v>0</v>
          </cell>
          <cell r="M18">
            <v>110073841</v>
          </cell>
          <cell r="Q18">
            <v>100000000</v>
          </cell>
          <cell r="S18">
            <v>511469959.00000006</v>
          </cell>
          <cell r="W18">
            <v>459804902</v>
          </cell>
          <cell r="Y18">
            <v>726750</v>
          </cell>
          <cell r="AC18">
            <v>1500000</v>
          </cell>
        </row>
        <row r="19">
          <cell r="G19">
            <v>21237207.82</v>
          </cell>
          <cell r="K19">
            <v>0</v>
          </cell>
          <cell r="M19">
            <v>50105182</v>
          </cell>
          <cell r="Q19">
            <v>0</v>
          </cell>
          <cell r="S19">
            <v>20493477</v>
          </cell>
          <cell r="W19">
            <v>0</v>
          </cell>
          <cell r="Y19">
            <v>431375</v>
          </cell>
        </row>
        <row r="20">
          <cell r="G20">
            <v>15140742.73</v>
          </cell>
          <cell r="K20">
            <v>0</v>
          </cell>
          <cell r="M20">
            <v>64470007</v>
          </cell>
          <cell r="Q20">
            <v>524000</v>
          </cell>
          <cell r="S20">
            <v>38429281</v>
          </cell>
          <cell r="W20">
            <v>0</v>
          </cell>
          <cell r="Y20">
            <v>1510875</v>
          </cell>
          <cell r="AC20">
            <v>600000</v>
          </cell>
        </row>
        <row r="21">
          <cell r="G21">
            <v>0</v>
          </cell>
          <cell r="K21">
            <v>0</v>
          </cell>
          <cell r="M21">
            <v>82697006</v>
          </cell>
          <cell r="Q21">
            <v>0</v>
          </cell>
          <cell r="S21">
            <v>0</v>
          </cell>
          <cell r="W21">
            <v>0</v>
          </cell>
          <cell r="AA21">
            <v>300000</v>
          </cell>
          <cell r="AC21">
            <v>1200000</v>
          </cell>
        </row>
        <row r="22">
          <cell r="G22">
            <v>26867877.609999999</v>
          </cell>
          <cell r="K22">
            <v>0</v>
          </cell>
          <cell r="M22">
            <v>36851869</v>
          </cell>
          <cell r="Q22">
            <v>0</v>
          </cell>
          <cell r="S22">
            <v>25226033</v>
          </cell>
          <cell r="W22">
            <v>0</v>
          </cell>
          <cell r="Y22">
            <v>70125</v>
          </cell>
          <cell r="AC22">
            <v>1100000</v>
          </cell>
        </row>
        <row r="23">
          <cell r="G23">
            <v>134112877.66</v>
          </cell>
          <cell r="K23">
            <v>49966755.5</v>
          </cell>
          <cell r="M23">
            <v>50595882</v>
          </cell>
          <cell r="Q23">
            <v>46163000</v>
          </cell>
          <cell r="S23">
            <v>43741581.000000007</v>
          </cell>
          <cell r="W23">
            <v>5708423</v>
          </cell>
          <cell r="Y23">
            <v>150875</v>
          </cell>
        </row>
        <row r="24">
          <cell r="G24">
            <v>31496305.050000001</v>
          </cell>
          <cell r="K24">
            <v>0</v>
          </cell>
          <cell r="M24">
            <v>226986839</v>
          </cell>
          <cell r="Q24">
            <v>17350000</v>
          </cell>
          <cell r="S24">
            <v>46817146</v>
          </cell>
          <cell r="W24">
            <v>0</v>
          </cell>
          <cell r="Y24">
            <v>643875</v>
          </cell>
          <cell r="AA24">
            <v>300000</v>
          </cell>
        </row>
        <row r="25">
          <cell r="G25">
            <v>39899851.490000002</v>
          </cell>
          <cell r="K25">
            <v>0</v>
          </cell>
          <cell r="M25">
            <v>27018127</v>
          </cell>
          <cell r="Q25">
            <v>0</v>
          </cell>
          <cell r="S25">
            <v>48385010</v>
          </cell>
          <cell r="W25">
            <v>5560603</v>
          </cell>
          <cell r="Y25">
            <v>954125</v>
          </cell>
          <cell r="AA25">
            <v>1800000</v>
          </cell>
          <cell r="AE25">
            <v>600000</v>
          </cell>
        </row>
        <row r="28">
          <cell r="G28">
            <v>0</v>
          </cell>
          <cell r="M28">
            <v>468220268</v>
          </cell>
          <cell r="Q28">
            <v>255450000</v>
          </cell>
          <cell r="S28">
            <v>0</v>
          </cell>
          <cell r="AC28">
            <v>800000</v>
          </cell>
        </row>
        <row r="29">
          <cell r="G29">
            <v>0</v>
          </cell>
          <cell r="M29">
            <v>867300861.29999995</v>
          </cell>
          <cell r="Q29">
            <v>2607139314.0000005</v>
          </cell>
          <cell r="S29">
            <v>0</v>
          </cell>
          <cell r="AC29">
            <v>1000000</v>
          </cell>
        </row>
        <row r="37">
          <cell r="F37">
            <v>449576530.15999985</v>
          </cell>
        </row>
        <row r="38">
          <cell r="F38">
            <v>0</v>
          </cell>
        </row>
        <row r="39">
          <cell r="F39">
            <v>0</v>
          </cell>
        </row>
        <row r="40">
          <cell r="F40">
            <v>0</v>
          </cell>
        </row>
        <row r="41">
          <cell r="F41">
            <v>0</v>
          </cell>
        </row>
        <row r="42">
          <cell r="F42">
            <v>3000000</v>
          </cell>
        </row>
        <row r="43">
          <cell r="F43">
            <v>7740447630.8400002</v>
          </cell>
        </row>
      </sheetData>
      <sheetData sheetId="71" refreshError="1"/>
      <sheetData sheetId="72">
        <row r="9">
          <cell r="E9">
            <v>0</v>
          </cell>
          <cell r="F9">
            <v>0</v>
          </cell>
          <cell r="G9">
            <v>0</v>
          </cell>
          <cell r="H9">
            <v>7.0691499999999996</v>
          </cell>
          <cell r="I9">
            <v>864.86400000000003</v>
          </cell>
          <cell r="J9">
            <v>310.464</v>
          </cell>
          <cell r="K9">
            <v>724.76265000000001</v>
          </cell>
          <cell r="L9">
            <v>3395.95</v>
          </cell>
          <cell r="M9">
            <v>8175.52</v>
          </cell>
          <cell r="N9">
            <v>2433.8000699999998</v>
          </cell>
          <cell r="O9">
            <v>189.45599999999999</v>
          </cell>
          <cell r="P9">
            <v>1104.9758999999995</v>
          </cell>
          <cell r="Q9">
            <v>3144.9314100000001</v>
          </cell>
          <cell r="R9">
            <v>0</v>
          </cell>
          <cell r="S9">
            <v>139866.78699999998</v>
          </cell>
          <cell r="T9">
            <v>0</v>
          </cell>
          <cell r="U9">
            <v>20674.3</v>
          </cell>
          <cell r="V9">
            <v>2.5</v>
          </cell>
          <cell r="W9">
            <v>850</v>
          </cell>
          <cell r="X9">
            <v>1546.3833399999999</v>
          </cell>
          <cell r="Y9">
            <v>2063.5201699999998</v>
          </cell>
          <cell r="Z9">
            <v>0</v>
          </cell>
          <cell r="AA9">
            <v>773.42273</v>
          </cell>
          <cell r="AB9">
            <v>473.69400000000002</v>
          </cell>
          <cell r="AC9">
            <v>0</v>
          </cell>
          <cell r="AD9">
            <v>748.46600000000001</v>
          </cell>
          <cell r="AE9">
            <v>2362.8000000000002</v>
          </cell>
          <cell r="AF9">
            <v>0</v>
          </cell>
          <cell r="AG9">
            <v>0</v>
          </cell>
          <cell r="AH9">
            <v>0</v>
          </cell>
        </row>
        <row r="10">
          <cell r="E10">
            <v>0</v>
          </cell>
          <cell r="F10">
            <v>0</v>
          </cell>
          <cell r="G10">
            <v>0</v>
          </cell>
          <cell r="H10">
            <v>7.0691499999999996</v>
          </cell>
          <cell r="I10">
            <v>1304.6880000000001</v>
          </cell>
          <cell r="J10">
            <v>212.52</v>
          </cell>
          <cell r="K10">
            <v>1397.8172399999999</v>
          </cell>
          <cell r="L10">
            <v>23628.971799999999</v>
          </cell>
          <cell r="M10">
            <v>29668.661</v>
          </cell>
          <cell r="N10">
            <v>7790.2533700000004</v>
          </cell>
          <cell r="O10">
            <v>897.6</v>
          </cell>
          <cell r="P10">
            <v>10234.714749999996</v>
          </cell>
          <cell r="Q10">
            <v>29129.57273</v>
          </cell>
          <cell r="R10">
            <v>50</v>
          </cell>
          <cell r="S10">
            <v>626573.80299999996</v>
          </cell>
          <cell r="T10">
            <v>0</v>
          </cell>
          <cell r="U10">
            <v>234503.04200000002</v>
          </cell>
          <cell r="V10">
            <v>14.5</v>
          </cell>
          <cell r="W10">
            <v>1120</v>
          </cell>
          <cell r="X10">
            <v>2316.6337699999999</v>
          </cell>
          <cell r="Y10">
            <v>2789.2800299999999</v>
          </cell>
          <cell r="Z10">
            <v>0</v>
          </cell>
          <cell r="AA10">
            <v>1650.9940799999999</v>
          </cell>
          <cell r="AB10">
            <v>1705.3</v>
          </cell>
          <cell r="AC10">
            <v>0</v>
          </cell>
          <cell r="AD10">
            <v>810.81600000000003</v>
          </cell>
          <cell r="AE10">
            <v>0</v>
          </cell>
          <cell r="AF10">
            <v>3142.1</v>
          </cell>
          <cell r="AG10">
            <v>0</v>
          </cell>
          <cell r="AH10">
            <v>999.94782999999995</v>
          </cell>
        </row>
        <row r="11">
          <cell r="E11">
            <v>0</v>
          </cell>
          <cell r="F11">
            <v>1553</v>
          </cell>
          <cell r="G11">
            <v>0</v>
          </cell>
          <cell r="H11">
            <v>7.0691499999999996</v>
          </cell>
          <cell r="I11">
            <v>643.10400000000004</v>
          </cell>
          <cell r="J11">
            <v>251.328</v>
          </cell>
          <cell r="K11">
            <v>1353.8172399999999</v>
          </cell>
          <cell r="L11">
            <v>10737.4028</v>
          </cell>
          <cell r="M11">
            <v>28783.613000000001</v>
          </cell>
          <cell r="N11">
            <v>3566.43624</v>
          </cell>
          <cell r="O11">
            <v>204</v>
          </cell>
          <cell r="P11">
            <v>3691.7664900000004</v>
          </cell>
          <cell r="Q11">
            <v>10507.3354</v>
          </cell>
          <cell r="R11">
            <v>100</v>
          </cell>
          <cell r="S11">
            <v>252231.02499999999</v>
          </cell>
          <cell r="T11">
            <v>0</v>
          </cell>
          <cell r="U11">
            <v>146808.19400000002</v>
          </cell>
          <cell r="V11">
            <v>4</v>
          </cell>
          <cell r="W11">
            <v>1155</v>
          </cell>
          <cell r="X11">
            <v>2074.5335700000001</v>
          </cell>
          <cell r="Y11">
            <v>1989.32241</v>
          </cell>
          <cell r="Z11">
            <v>0</v>
          </cell>
          <cell r="AA11">
            <v>808.42273</v>
          </cell>
          <cell r="AB11">
            <v>1496.085</v>
          </cell>
          <cell r="AC11">
            <v>2959.328</v>
          </cell>
          <cell r="AD11">
            <v>851.41600000000005</v>
          </cell>
          <cell r="AE11">
            <v>0</v>
          </cell>
          <cell r="AF11">
            <v>2100.6999999999998</v>
          </cell>
          <cell r="AG11">
            <v>0</v>
          </cell>
          <cell r="AH11">
            <v>981.74788999999998</v>
          </cell>
        </row>
        <row r="12">
          <cell r="E12">
            <v>0</v>
          </cell>
          <cell r="F12">
            <v>0</v>
          </cell>
          <cell r="G12">
            <v>0</v>
          </cell>
          <cell r="H12">
            <v>7.0691499999999996</v>
          </cell>
          <cell r="I12">
            <v>1888.6559999999999</v>
          </cell>
          <cell r="J12">
            <v>517.43799999999999</v>
          </cell>
          <cell r="K12">
            <v>1357.91724</v>
          </cell>
          <cell r="L12">
            <v>9504.1169000000009</v>
          </cell>
          <cell r="M12">
            <v>10352.727999999999</v>
          </cell>
          <cell r="N12">
            <v>4158.34058</v>
          </cell>
          <cell r="O12">
            <v>258.94200000000001</v>
          </cell>
          <cell r="P12">
            <v>2992.33709</v>
          </cell>
          <cell r="Q12">
            <v>8516.6516999999985</v>
          </cell>
          <cell r="R12">
            <v>150</v>
          </cell>
          <cell r="S12">
            <v>333421.52600000001</v>
          </cell>
          <cell r="T12">
            <v>0</v>
          </cell>
          <cell r="U12">
            <v>52200.422999999995</v>
          </cell>
          <cell r="V12">
            <v>4.5</v>
          </cell>
          <cell r="W12">
            <v>795</v>
          </cell>
          <cell r="X12">
            <v>1254.3848599999999</v>
          </cell>
          <cell r="Y12">
            <v>2213.1864299999997</v>
          </cell>
          <cell r="Z12">
            <v>0</v>
          </cell>
          <cell r="AA12">
            <v>798.42273</v>
          </cell>
          <cell r="AB12">
            <v>1827.671</v>
          </cell>
          <cell r="AC12">
            <v>986.44299999999998</v>
          </cell>
          <cell r="AD12">
            <v>886.21600000000001</v>
          </cell>
          <cell r="AE12">
            <v>0</v>
          </cell>
          <cell r="AF12">
            <v>2944.3</v>
          </cell>
          <cell r="AG12">
            <v>0</v>
          </cell>
          <cell r="AH12">
            <v>1019.44789</v>
          </cell>
        </row>
        <row r="13">
          <cell r="E13">
            <v>0</v>
          </cell>
          <cell r="F13">
            <v>0</v>
          </cell>
          <cell r="G13">
            <v>0</v>
          </cell>
          <cell r="H13">
            <v>7.0691499999999996</v>
          </cell>
          <cell r="I13">
            <v>1820.28</v>
          </cell>
          <cell r="J13">
            <v>369.6</v>
          </cell>
          <cell r="K13">
            <v>810.06264999999996</v>
          </cell>
          <cell r="L13">
            <v>8435.1128000000008</v>
          </cell>
          <cell r="M13">
            <v>13958.36</v>
          </cell>
          <cell r="N13">
            <v>3548.2242700000002</v>
          </cell>
          <cell r="O13">
            <v>263.03800000000001</v>
          </cell>
          <cell r="P13">
            <v>2830.6081900000004</v>
          </cell>
          <cell r="Q13">
            <v>8056.3463700000002</v>
          </cell>
          <cell r="R13">
            <v>50</v>
          </cell>
          <cell r="S13">
            <v>320512</v>
          </cell>
          <cell r="T13">
            <v>0</v>
          </cell>
          <cell r="U13">
            <v>116381.519</v>
          </cell>
          <cell r="V13">
            <v>5.5</v>
          </cell>
          <cell r="W13">
            <v>755</v>
          </cell>
          <cell r="X13">
            <v>1710.7282799999998</v>
          </cell>
          <cell r="Y13">
            <v>2768.8407199999997</v>
          </cell>
          <cell r="Z13">
            <v>0</v>
          </cell>
          <cell r="AA13">
            <v>763.42273</v>
          </cell>
          <cell r="AB13">
            <v>540.80100000000004</v>
          </cell>
          <cell r="AC13">
            <v>1972.885</v>
          </cell>
          <cell r="AD13">
            <v>728.51600000000008</v>
          </cell>
          <cell r="AE13">
            <v>2743.3</v>
          </cell>
          <cell r="AF13">
            <v>0</v>
          </cell>
          <cell r="AG13">
            <v>0</v>
          </cell>
          <cell r="AH13">
            <v>0</v>
          </cell>
        </row>
        <row r="14">
          <cell r="E14">
            <v>0</v>
          </cell>
          <cell r="F14">
            <v>0</v>
          </cell>
          <cell r="G14">
            <v>0</v>
          </cell>
          <cell r="H14">
            <v>7.0691499999999996</v>
          </cell>
          <cell r="I14">
            <v>1206.7439999999999</v>
          </cell>
          <cell r="J14">
            <v>347.42399999999998</v>
          </cell>
          <cell r="K14">
            <v>753.06264999999996</v>
          </cell>
          <cell r="L14">
            <v>5516.0378000000001</v>
          </cell>
          <cell r="M14">
            <v>8748.7489999999998</v>
          </cell>
          <cell r="N14">
            <v>2400.0850699999996</v>
          </cell>
          <cell r="O14">
            <v>296.875</v>
          </cell>
          <cell r="P14">
            <v>1609.3109100000001</v>
          </cell>
          <cell r="Q14">
            <v>4580.3464199999999</v>
          </cell>
          <cell r="R14">
            <v>0</v>
          </cell>
          <cell r="S14">
            <v>216978.375</v>
          </cell>
          <cell r="T14">
            <v>0</v>
          </cell>
          <cell r="U14">
            <v>38416.590000000004</v>
          </cell>
          <cell r="V14">
            <v>4</v>
          </cell>
          <cell r="W14">
            <v>685</v>
          </cell>
          <cell r="X14">
            <v>1179.9055500000002</v>
          </cell>
          <cell r="Y14">
            <v>1767.76612</v>
          </cell>
          <cell r="Z14">
            <v>0</v>
          </cell>
          <cell r="AA14">
            <v>803.42273</v>
          </cell>
          <cell r="AB14">
            <v>323.69099999999997</v>
          </cell>
          <cell r="AC14">
            <v>0</v>
          </cell>
          <cell r="AD14">
            <v>840.31600000000003</v>
          </cell>
          <cell r="AE14">
            <v>0</v>
          </cell>
          <cell r="AF14">
            <v>1769.3</v>
          </cell>
          <cell r="AG14">
            <v>0</v>
          </cell>
          <cell r="AH14">
            <v>966.14788999999996</v>
          </cell>
        </row>
        <row r="15">
          <cell r="E15">
            <v>0</v>
          </cell>
          <cell r="F15">
            <v>0</v>
          </cell>
          <cell r="G15">
            <v>0</v>
          </cell>
          <cell r="H15">
            <v>7.0691499999999996</v>
          </cell>
          <cell r="I15">
            <v>1386</v>
          </cell>
          <cell r="J15">
            <v>282.74400000000003</v>
          </cell>
          <cell r="K15">
            <v>1467.61724</v>
          </cell>
          <cell r="L15">
            <v>8026.0312999999996</v>
          </cell>
          <cell r="M15">
            <v>19772.881000000001</v>
          </cell>
          <cell r="N15">
            <v>3872.2436900000002</v>
          </cell>
          <cell r="O15">
            <v>502.35</v>
          </cell>
          <cell r="P15">
            <v>2900.5045300000002</v>
          </cell>
          <cell r="Q15">
            <v>8255.2821199999998</v>
          </cell>
          <cell r="R15">
            <v>100</v>
          </cell>
          <cell r="S15">
            <v>313443.78499999997</v>
          </cell>
          <cell r="T15">
            <v>0</v>
          </cell>
          <cell r="U15">
            <v>118363.98199999999</v>
          </cell>
          <cell r="V15">
            <v>2</v>
          </cell>
          <cell r="W15">
            <v>933</v>
          </cell>
          <cell r="X15">
            <v>2207.4268700000002</v>
          </cell>
          <cell r="Y15">
            <v>1898.4222299999999</v>
          </cell>
          <cell r="Z15">
            <v>0</v>
          </cell>
          <cell r="AA15">
            <v>778.42273</v>
          </cell>
          <cell r="AB15">
            <v>1914.5150000000001</v>
          </cell>
          <cell r="AC15">
            <v>986.44299999999998</v>
          </cell>
          <cell r="AD15">
            <v>753.81600000000003</v>
          </cell>
          <cell r="AE15">
            <v>0</v>
          </cell>
          <cell r="AF15">
            <v>2786.4</v>
          </cell>
          <cell r="AG15">
            <v>0</v>
          </cell>
          <cell r="AH15">
            <v>982.94789000000003</v>
          </cell>
        </row>
        <row r="16">
          <cell r="E16">
            <v>0</v>
          </cell>
          <cell r="F16">
            <v>0</v>
          </cell>
          <cell r="G16">
            <v>0</v>
          </cell>
          <cell r="H16">
            <v>7.0691499999999996</v>
          </cell>
          <cell r="I16">
            <v>389.928</v>
          </cell>
          <cell r="J16">
            <v>194.04</v>
          </cell>
          <cell r="K16">
            <v>1479.8862399999998</v>
          </cell>
          <cell r="L16">
            <v>8726.7873</v>
          </cell>
          <cell r="M16">
            <v>13206.288</v>
          </cell>
          <cell r="N16">
            <v>3581.7237300000002</v>
          </cell>
          <cell r="O16">
            <v>613.36</v>
          </cell>
          <cell r="P16">
            <v>3141.8872699999997</v>
          </cell>
          <cell r="Q16">
            <v>8942.2945199999995</v>
          </cell>
          <cell r="R16">
            <v>50</v>
          </cell>
          <cell r="S16">
            <v>245905.04699999999</v>
          </cell>
          <cell r="T16">
            <v>0</v>
          </cell>
          <cell r="U16">
            <v>90979.106</v>
          </cell>
          <cell r="V16">
            <v>2.5</v>
          </cell>
          <cell r="W16">
            <v>700</v>
          </cell>
          <cell r="X16">
            <v>2630.3413500000001</v>
          </cell>
          <cell r="Y16">
            <v>9513.9193300000006</v>
          </cell>
          <cell r="Z16">
            <v>0</v>
          </cell>
          <cell r="AA16">
            <v>870.55691999999999</v>
          </cell>
          <cell r="AB16">
            <v>967.12599999999998</v>
          </cell>
          <cell r="AC16">
            <v>0</v>
          </cell>
          <cell r="AD16">
            <v>756.23599999999999</v>
          </cell>
          <cell r="AE16">
            <v>0</v>
          </cell>
          <cell r="AF16">
            <v>2705.3</v>
          </cell>
          <cell r="AG16">
            <v>0</v>
          </cell>
          <cell r="AH16">
            <v>1017.34789</v>
          </cell>
        </row>
        <row r="17">
          <cell r="E17">
            <v>0</v>
          </cell>
          <cell r="F17">
            <v>0</v>
          </cell>
          <cell r="G17">
            <v>0</v>
          </cell>
          <cell r="H17">
            <v>7.0691499999999996</v>
          </cell>
          <cell r="I17">
            <v>1123.5840000000001</v>
          </cell>
          <cell r="J17">
            <v>362.20800000000003</v>
          </cell>
          <cell r="K17">
            <v>705.16264999999999</v>
          </cell>
          <cell r="L17">
            <v>4567.2575999999999</v>
          </cell>
          <cell r="M17">
            <v>8414.8719999999994</v>
          </cell>
          <cell r="N17">
            <v>2420.8600699999997</v>
          </cell>
          <cell r="O17">
            <v>269.07</v>
          </cell>
          <cell r="P17">
            <v>1519.5822300000004</v>
          </cell>
          <cell r="Q17">
            <v>4324.9648399999996</v>
          </cell>
          <cell r="R17">
            <v>0</v>
          </cell>
          <cell r="S17">
            <v>191675.78199999998</v>
          </cell>
          <cell r="T17">
            <v>0</v>
          </cell>
          <cell r="U17">
            <v>44920.273999999998</v>
          </cell>
          <cell r="V17">
            <v>4</v>
          </cell>
          <cell r="W17">
            <v>820</v>
          </cell>
          <cell r="X17">
            <v>1857.5256300000001</v>
          </cell>
          <cell r="Y17">
            <v>7048.9083700000001</v>
          </cell>
          <cell r="Z17">
            <v>0</v>
          </cell>
          <cell r="AA17">
            <v>798.42273</v>
          </cell>
          <cell r="AB17">
            <v>501.32600000000002</v>
          </cell>
          <cell r="AC17">
            <v>0</v>
          </cell>
          <cell r="AD17">
            <v>857.91600000000005</v>
          </cell>
          <cell r="AE17">
            <v>2029.3</v>
          </cell>
          <cell r="AF17">
            <v>0</v>
          </cell>
          <cell r="AG17">
            <v>0</v>
          </cell>
          <cell r="AH17">
            <v>0</v>
          </cell>
        </row>
        <row r="18">
          <cell r="E18">
            <v>0</v>
          </cell>
          <cell r="F18">
            <v>0</v>
          </cell>
          <cell r="G18">
            <v>0</v>
          </cell>
          <cell r="H18">
            <v>7.0691499999999996</v>
          </cell>
          <cell r="I18">
            <v>813.12</v>
          </cell>
          <cell r="J18">
            <v>328.94400000000002</v>
          </cell>
          <cell r="K18">
            <v>791.26265000000001</v>
          </cell>
          <cell r="L18">
            <v>4357.6102000000001</v>
          </cell>
          <cell r="M18">
            <v>8772.8739999999998</v>
          </cell>
          <cell r="N18">
            <v>2407.4250699999998</v>
          </cell>
          <cell r="O18">
            <v>350.24199999999996</v>
          </cell>
          <cell r="P18">
            <v>1526.4769699999997</v>
          </cell>
          <cell r="Q18">
            <v>4344.5882799999999</v>
          </cell>
          <cell r="R18">
            <v>0</v>
          </cell>
          <cell r="S18">
            <v>154187.54200000002</v>
          </cell>
          <cell r="T18">
            <v>0</v>
          </cell>
          <cell r="U18">
            <v>54114.002</v>
          </cell>
          <cell r="V18">
            <v>2.5</v>
          </cell>
          <cell r="W18">
            <v>785</v>
          </cell>
          <cell r="X18">
            <v>1185.30906</v>
          </cell>
          <cell r="Y18">
            <v>7732.8082400000003</v>
          </cell>
          <cell r="Z18">
            <v>0</v>
          </cell>
          <cell r="AA18">
            <v>748.42273</v>
          </cell>
          <cell r="AB18">
            <v>832.91200000000003</v>
          </cell>
          <cell r="AC18">
            <v>986.44299999999998</v>
          </cell>
          <cell r="AD18">
            <v>734.41600000000005</v>
          </cell>
          <cell r="AE18">
            <v>0</v>
          </cell>
          <cell r="AF18">
            <v>1137.4000000000001</v>
          </cell>
          <cell r="AG18">
            <v>0</v>
          </cell>
          <cell r="AH18">
            <v>928.48329000000001</v>
          </cell>
        </row>
        <row r="19">
          <cell r="E19">
            <v>0</v>
          </cell>
          <cell r="F19">
            <v>0</v>
          </cell>
          <cell r="G19">
            <v>0</v>
          </cell>
          <cell r="H19">
            <v>7.0691499999999996</v>
          </cell>
          <cell r="I19">
            <v>1051.5119999999999</v>
          </cell>
          <cell r="J19">
            <v>238.392</v>
          </cell>
          <cell r="K19">
            <v>1385.41724</v>
          </cell>
          <cell r="L19">
            <v>11665.714400000001</v>
          </cell>
          <cell r="M19">
            <v>15632.040999999999</v>
          </cell>
          <cell r="N19">
            <v>3970.8436900000002</v>
          </cell>
          <cell r="O19">
            <v>1251.2</v>
          </cell>
          <cell r="P19">
            <v>4812.0360799999999</v>
          </cell>
          <cell r="Q19">
            <v>13695.79501</v>
          </cell>
          <cell r="R19">
            <v>100</v>
          </cell>
          <cell r="S19">
            <v>332950.054</v>
          </cell>
          <cell r="T19">
            <v>0</v>
          </cell>
          <cell r="U19">
            <v>169510.511</v>
          </cell>
          <cell r="V19">
            <v>14</v>
          </cell>
          <cell r="W19">
            <v>600</v>
          </cell>
          <cell r="X19">
            <v>2899.1668399999999</v>
          </cell>
          <cell r="Y19">
            <v>2837.4829599999998</v>
          </cell>
          <cell r="Z19">
            <v>0</v>
          </cell>
          <cell r="AA19">
            <v>728.42273</v>
          </cell>
          <cell r="AB19">
            <v>907.91399999999999</v>
          </cell>
          <cell r="AC19">
            <v>986.44299999999998</v>
          </cell>
          <cell r="AD19">
            <v>802.31600000000003</v>
          </cell>
          <cell r="AE19">
            <v>0</v>
          </cell>
          <cell r="AF19">
            <v>2813.5</v>
          </cell>
          <cell r="AG19">
            <v>0</v>
          </cell>
          <cell r="AH19">
            <v>988.34789000000001</v>
          </cell>
        </row>
        <row r="20">
          <cell r="E20">
            <v>0</v>
          </cell>
          <cell r="F20">
            <v>0</v>
          </cell>
          <cell r="G20">
            <v>0</v>
          </cell>
          <cell r="H20">
            <v>7.0691499999999996</v>
          </cell>
          <cell r="I20">
            <v>1210.44</v>
          </cell>
          <cell r="J20">
            <v>415.8</v>
          </cell>
          <cell r="K20">
            <v>832.86264999999992</v>
          </cell>
          <cell r="L20">
            <v>5980.4616999999998</v>
          </cell>
          <cell r="M20">
            <v>10473.68</v>
          </cell>
          <cell r="N20">
            <v>2814.14338</v>
          </cell>
          <cell r="O20">
            <v>151.142</v>
          </cell>
          <cell r="P20">
            <v>1693.2067700000005</v>
          </cell>
          <cell r="Q20">
            <v>4819.1269599999996</v>
          </cell>
          <cell r="R20">
            <v>50</v>
          </cell>
          <cell r="S20">
            <v>228317.41699999999</v>
          </cell>
          <cell r="T20">
            <v>0</v>
          </cell>
          <cell r="U20">
            <v>64374.012000000002</v>
          </cell>
          <cell r="V20">
            <v>8</v>
          </cell>
          <cell r="W20">
            <v>780</v>
          </cell>
          <cell r="X20">
            <v>1558.85787</v>
          </cell>
          <cell r="Y20">
            <v>2877.4939900000004</v>
          </cell>
          <cell r="Z20">
            <v>0</v>
          </cell>
          <cell r="AA20">
            <v>833.42273</v>
          </cell>
          <cell r="AB20">
            <v>339.48099999999999</v>
          </cell>
          <cell r="AC20">
            <v>0</v>
          </cell>
          <cell r="AD20">
            <v>762.31600000000003</v>
          </cell>
          <cell r="AE20">
            <v>0</v>
          </cell>
          <cell r="AF20">
            <v>1594.5</v>
          </cell>
          <cell r="AG20">
            <v>0</v>
          </cell>
          <cell r="AH20">
            <v>928.74788999999998</v>
          </cell>
        </row>
        <row r="21">
          <cell r="E21">
            <v>0</v>
          </cell>
          <cell r="F21">
            <v>0</v>
          </cell>
          <cell r="G21">
            <v>0</v>
          </cell>
          <cell r="H21">
            <v>7.0691499999999996</v>
          </cell>
          <cell r="I21">
            <v>2694.384</v>
          </cell>
          <cell r="J21">
            <v>510.048</v>
          </cell>
          <cell r="K21">
            <v>1369.14624</v>
          </cell>
          <cell r="L21">
            <v>15610.367099999999</v>
          </cell>
          <cell r="M21">
            <v>28902.3</v>
          </cell>
          <cell r="N21">
            <v>7263.9826900000007</v>
          </cell>
          <cell r="O21">
            <v>645.82999999999993</v>
          </cell>
          <cell r="P21">
            <v>6892.3713200000002</v>
          </cell>
          <cell r="Q21">
            <v>19616.74914</v>
          </cell>
          <cell r="R21">
            <v>50</v>
          </cell>
          <cell r="S21">
            <v>628515.38100000005</v>
          </cell>
          <cell r="T21">
            <v>0</v>
          </cell>
          <cell r="U21">
            <v>165872.117</v>
          </cell>
          <cell r="V21">
            <v>19</v>
          </cell>
          <cell r="W21">
            <v>905</v>
          </cell>
          <cell r="X21">
            <v>1935.64761</v>
          </cell>
          <cell r="Y21">
            <v>2511.3679200000001</v>
          </cell>
          <cell r="Z21">
            <v>0</v>
          </cell>
          <cell r="AA21">
            <v>1430.97615</v>
          </cell>
          <cell r="AB21">
            <v>4831.6819999999998</v>
          </cell>
          <cell r="AC21">
            <v>2959.3270000000002</v>
          </cell>
          <cell r="AD21">
            <v>833.51600000000008</v>
          </cell>
          <cell r="AE21">
            <v>0</v>
          </cell>
          <cell r="AF21">
            <v>4907</v>
          </cell>
          <cell r="AG21">
            <v>0</v>
          </cell>
          <cell r="AH21">
            <v>1066.34789</v>
          </cell>
        </row>
        <row r="22">
          <cell r="E22">
            <v>0</v>
          </cell>
          <cell r="F22">
            <v>0</v>
          </cell>
          <cell r="G22">
            <v>0</v>
          </cell>
          <cell r="H22">
            <v>7.0691499999999996</v>
          </cell>
          <cell r="I22">
            <v>972.048</v>
          </cell>
          <cell r="J22">
            <v>352.96800000000002</v>
          </cell>
          <cell r="K22">
            <v>720.94264999999996</v>
          </cell>
          <cell r="L22">
            <v>4391.8420999999998</v>
          </cell>
          <cell r="M22">
            <v>7750.69</v>
          </cell>
          <cell r="N22">
            <v>2252.39507</v>
          </cell>
          <cell r="O22">
            <v>126.64</v>
          </cell>
          <cell r="P22">
            <v>1805.33808</v>
          </cell>
          <cell r="Q22">
            <v>5138.26991</v>
          </cell>
          <cell r="R22">
            <v>50</v>
          </cell>
          <cell r="S22">
            <v>187716.94099999999</v>
          </cell>
          <cell r="T22">
            <v>0</v>
          </cell>
          <cell r="U22">
            <v>57756.473999999995</v>
          </cell>
          <cell r="V22">
            <v>0.5</v>
          </cell>
          <cell r="W22">
            <v>825</v>
          </cell>
          <cell r="X22">
            <v>1442.6477299999999</v>
          </cell>
          <cell r="Y22">
            <v>8213.3038899999992</v>
          </cell>
          <cell r="Z22">
            <v>0</v>
          </cell>
          <cell r="AA22">
            <v>783.42273</v>
          </cell>
          <cell r="AB22">
            <v>513.16899999999998</v>
          </cell>
          <cell r="AC22">
            <v>0</v>
          </cell>
          <cell r="AD22">
            <v>836.31600000000003</v>
          </cell>
          <cell r="AE22">
            <v>2348.1</v>
          </cell>
          <cell r="AF22">
            <v>0</v>
          </cell>
          <cell r="AG22">
            <v>0</v>
          </cell>
          <cell r="AH22">
            <v>0</v>
          </cell>
        </row>
        <row r="23">
          <cell r="E23">
            <v>0</v>
          </cell>
          <cell r="F23">
            <v>0</v>
          </cell>
          <cell r="G23">
            <v>0</v>
          </cell>
          <cell r="H23">
            <v>7.0691499999999996</v>
          </cell>
          <cell r="I23">
            <v>1454.376</v>
          </cell>
          <cell r="J23">
            <v>449.06400000000002</v>
          </cell>
          <cell r="K23">
            <v>717.06264999999996</v>
          </cell>
          <cell r="L23">
            <v>6821.9935999999998</v>
          </cell>
          <cell r="M23">
            <v>4924.8100000000004</v>
          </cell>
          <cell r="N23">
            <v>2789.4016299999998</v>
          </cell>
          <cell r="O23">
            <v>513.86900000000003</v>
          </cell>
          <cell r="P23">
            <v>2434.9297000000001</v>
          </cell>
          <cell r="Q23">
            <v>6930.1845300000004</v>
          </cell>
          <cell r="R23">
            <v>0</v>
          </cell>
          <cell r="S23">
            <v>287235.41899999999</v>
          </cell>
          <cell r="T23">
            <v>0</v>
          </cell>
          <cell r="U23">
            <v>62761.35</v>
          </cell>
          <cell r="V23">
            <v>1.5</v>
          </cell>
          <cell r="W23">
            <v>810</v>
          </cell>
          <cell r="X23">
            <v>1395.5119</v>
          </cell>
          <cell r="Y23">
            <v>7497.3375100000003</v>
          </cell>
          <cell r="Z23">
            <v>0</v>
          </cell>
          <cell r="AA23">
            <v>773.42273</v>
          </cell>
          <cell r="AB23">
            <v>892.12400000000002</v>
          </cell>
          <cell r="AC23">
            <v>0</v>
          </cell>
          <cell r="AD23">
            <v>750.04600000000005</v>
          </cell>
          <cell r="AE23">
            <v>0</v>
          </cell>
          <cell r="AF23">
            <v>2118.6999999999998</v>
          </cell>
          <cell r="AG23">
            <v>0</v>
          </cell>
          <cell r="AH23">
            <v>986.04789000000005</v>
          </cell>
        </row>
        <row r="24">
          <cell r="E24">
            <v>0</v>
          </cell>
          <cell r="F24">
            <v>0</v>
          </cell>
          <cell r="G24">
            <v>0</v>
          </cell>
          <cell r="H24">
            <v>7.0691499999999996</v>
          </cell>
          <cell r="I24">
            <v>1130.9760000000001</v>
          </cell>
          <cell r="J24">
            <v>340.03199999999998</v>
          </cell>
          <cell r="K24">
            <v>1628.2172399999999</v>
          </cell>
          <cell r="L24">
            <v>13836.0923</v>
          </cell>
          <cell r="M24">
            <v>25267</v>
          </cell>
          <cell r="N24">
            <v>4840.0992800000004</v>
          </cell>
          <cell r="O24">
            <v>559.59300000000007</v>
          </cell>
          <cell r="P24">
            <v>5526.6585800000003</v>
          </cell>
          <cell r="Q24">
            <v>15729.720579999999</v>
          </cell>
          <cell r="R24">
            <v>100</v>
          </cell>
          <cell r="S24">
            <v>378194.08900000004</v>
          </cell>
          <cell r="T24">
            <v>0</v>
          </cell>
          <cell r="U24">
            <v>165381.53200000001</v>
          </cell>
          <cell r="V24">
            <v>11.5</v>
          </cell>
          <cell r="W24">
            <v>805</v>
          </cell>
          <cell r="X24">
            <v>2332.0545300000003</v>
          </cell>
          <cell r="Y24">
            <v>2990.1528699999999</v>
          </cell>
          <cell r="Z24">
            <v>0</v>
          </cell>
          <cell r="AA24">
            <v>763.42273</v>
          </cell>
          <cell r="AB24">
            <v>1128.971</v>
          </cell>
          <cell r="AC24">
            <v>986.44299999999998</v>
          </cell>
          <cell r="AD24">
            <v>753.51600000000008</v>
          </cell>
          <cell r="AE24">
            <v>0</v>
          </cell>
          <cell r="AF24">
            <v>3858.1</v>
          </cell>
          <cell r="AG24">
            <v>0</v>
          </cell>
          <cell r="AH24">
            <v>1096.74613</v>
          </cell>
        </row>
        <row r="25">
          <cell r="E25">
            <v>0</v>
          </cell>
          <cell r="F25">
            <v>0</v>
          </cell>
          <cell r="G25">
            <v>0</v>
          </cell>
          <cell r="H25">
            <v>7.0691499999999996</v>
          </cell>
          <cell r="I25">
            <v>1469.16</v>
          </cell>
          <cell r="J25">
            <v>511.89600000000002</v>
          </cell>
          <cell r="K25">
            <v>743.86264999999992</v>
          </cell>
          <cell r="L25">
            <v>5521.5712000000003</v>
          </cell>
          <cell r="M25">
            <v>7356.1419999999998</v>
          </cell>
          <cell r="N25">
            <v>2769.4895299999998</v>
          </cell>
          <cell r="O25">
            <v>205.32900000000001</v>
          </cell>
          <cell r="P25">
            <v>1971.0826199999992</v>
          </cell>
          <cell r="Q25">
            <v>5610.0044000000007</v>
          </cell>
          <cell r="R25">
            <v>0</v>
          </cell>
          <cell r="S25">
            <v>222224.31599999999</v>
          </cell>
          <cell r="T25">
            <v>0</v>
          </cell>
          <cell r="U25">
            <v>47897.647000000004</v>
          </cell>
          <cell r="V25">
            <v>3</v>
          </cell>
          <cell r="W25">
            <v>833</v>
          </cell>
          <cell r="X25">
            <v>1195.64465</v>
          </cell>
          <cell r="Y25">
            <v>2484.9974900000002</v>
          </cell>
          <cell r="Z25">
            <v>0</v>
          </cell>
          <cell r="AA25">
            <v>793.42273</v>
          </cell>
          <cell r="AB25">
            <v>730.279</v>
          </cell>
          <cell r="AC25">
            <v>986.44299999999998</v>
          </cell>
          <cell r="AD25">
            <v>752.49599999999998</v>
          </cell>
          <cell r="AE25">
            <v>0</v>
          </cell>
          <cell r="AF25">
            <v>1898.5</v>
          </cell>
          <cell r="AG25">
            <v>0</v>
          </cell>
          <cell r="AH25">
            <v>978.40788999999995</v>
          </cell>
        </row>
        <row r="26">
          <cell r="E26">
            <v>0</v>
          </cell>
          <cell r="F26">
            <v>0</v>
          </cell>
          <cell r="G26">
            <v>0</v>
          </cell>
          <cell r="H26">
            <v>7.0691499999999996</v>
          </cell>
          <cell r="I26">
            <v>914.76</v>
          </cell>
          <cell r="J26">
            <v>258.72000000000003</v>
          </cell>
          <cell r="K26">
            <v>1467.40724</v>
          </cell>
          <cell r="L26">
            <v>11501.4876</v>
          </cell>
          <cell r="M26">
            <v>11268.918</v>
          </cell>
          <cell r="N26">
            <v>3542.28179</v>
          </cell>
          <cell r="O26">
            <v>272</v>
          </cell>
          <cell r="P26">
            <v>3513.75108</v>
          </cell>
          <cell r="Q26">
            <v>10000.676160000001</v>
          </cell>
          <cell r="R26">
            <v>50</v>
          </cell>
          <cell r="S26">
            <v>288375.69200000004</v>
          </cell>
          <cell r="T26">
            <v>0</v>
          </cell>
          <cell r="U26">
            <v>92446.690999999992</v>
          </cell>
          <cell r="V26">
            <v>5.5</v>
          </cell>
          <cell r="W26">
            <v>1435</v>
          </cell>
          <cell r="X26">
            <v>2217.0832400000004</v>
          </cell>
          <cell r="Y26">
            <v>6702.8510300000007</v>
          </cell>
          <cell r="Z26">
            <v>0</v>
          </cell>
          <cell r="AA26">
            <v>879.42273</v>
          </cell>
          <cell r="AB26">
            <v>671.06700000000001</v>
          </cell>
          <cell r="AC26">
            <v>1972.885</v>
          </cell>
          <cell r="AD26">
            <v>769.31600000000003</v>
          </cell>
          <cell r="AE26">
            <v>0</v>
          </cell>
          <cell r="AF26">
            <v>3193.5</v>
          </cell>
          <cell r="AG26">
            <v>0</v>
          </cell>
          <cell r="AH26">
            <v>1060.5478899999998</v>
          </cell>
        </row>
        <row r="29">
          <cell r="E29">
            <v>0</v>
          </cell>
          <cell r="F29">
            <v>0</v>
          </cell>
          <cell r="G29">
            <v>3069.84</v>
          </cell>
          <cell r="H29">
            <v>42.414900000000003</v>
          </cell>
          <cell r="I29">
            <v>0</v>
          </cell>
          <cell r="J29">
            <v>0</v>
          </cell>
          <cell r="K29">
            <v>1464.9722900000002</v>
          </cell>
          <cell r="L29">
            <v>29274.830999999998</v>
          </cell>
          <cell r="M29">
            <v>36070.025000000001</v>
          </cell>
          <cell r="N29">
            <v>6330.3583499999995</v>
          </cell>
          <cell r="O29">
            <v>743.04</v>
          </cell>
          <cell r="P29">
            <v>12905.345490000002</v>
          </cell>
          <cell r="Q29">
            <v>36730.598709999998</v>
          </cell>
          <cell r="R29">
            <v>350</v>
          </cell>
          <cell r="S29">
            <v>594861.28899999987</v>
          </cell>
          <cell r="T29">
            <v>15887.560000000001</v>
          </cell>
          <cell r="U29">
            <v>471687.74799999991</v>
          </cell>
          <cell r="V29">
            <v>29</v>
          </cell>
          <cell r="W29">
            <v>1115</v>
          </cell>
          <cell r="X29">
            <v>3362.5136600000001</v>
          </cell>
          <cell r="Y29">
            <v>4657.9937799999998</v>
          </cell>
          <cell r="Z29">
            <v>5000</v>
          </cell>
          <cell r="AA29">
            <v>1676.16263</v>
          </cell>
          <cell r="AB29">
            <v>8131.7520000000004</v>
          </cell>
          <cell r="AC29">
            <v>0</v>
          </cell>
          <cell r="AD29">
            <v>1526.6200000000001</v>
          </cell>
          <cell r="AG29">
            <v>0</v>
          </cell>
          <cell r="AH29">
            <v>0</v>
          </cell>
        </row>
        <row r="30">
          <cell r="E30">
            <v>0</v>
          </cell>
          <cell r="F30">
            <v>0</v>
          </cell>
          <cell r="G30">
            <v>4604.76</v>
          </cell>
          <cell r="H30">
            <v>402.94155999999998</v>
          </cell>
          <cell r="I30">
            <v>0</v>
          </cell>
          <cell r="J30">
            <v>0</v>
          </cell>
          <cell r="K30">
            <v>8031.0806999999995</v>
          </cell>
          <cell r="L30">
            <v>157266.53049999999</v>
          </cell>
          <cell r="M30">
            <v>113685.22</v>
          </cell>
          <cell r="N30">
            <v>33756.052429999996</v>
          </cell>
          <cell r="O30">
            <v>5006</v>
          </cell>
          <cell r="P30">
            <v>75449.351089999967</v>
          </cell>
          <cell r="Q30">
            <v>214740.46080999999</v>
          </cell>
          <cell r="R30">
            <v>850</v>
          </cell>
          <cell r="S30">
            <v>3701216.2790000001</v>
          </cell>
          <cell r="T30">
            <v>36674.058000000005</v>
          </cell>
          <cell r="U30">
            <v>2730441.9359999998</v>
          </cell>
          <cell r="V30">
            <v>65.5</v>
          </cell>
          <cell r="W30">
            <v>0</v>
          </cell>
          <cell r="X30">
            <v>0</v>
          </cell>
          <cell r="Y30">
            <v>11628.81287</v>
          </cell>
          <cell r="Z30">
            <v>9270</v>
          </cell>
          <cell r="AA30">
            <v>7271.1192700000001</v>
          </cell>
          <cell r="AB30">
            <v>10744.966</v>
          </cell>
          <cell r="AC30">
            <v>0</v>
          </cell>
          <cell r="AD30">
            <v>1900.992</v>
          </cell>
          <cell r="AG30">
            <v>63.1</v>
          </cell>
          <cell r="AH30">
            <v>0</v>
          </cell>
        </row>
        <row r="37">
          <cell r="D37">
            <v>18753741577.009998</v>
          </cell>
        </row>
        <row r="38">
          <cell r="D38">
            <v>0</v>
          </cell>
        </row>
        <row r="39">
          <cell r="D39">
            <v>2272614400</v>
          </cell>
          <cell r="E39">
            <v>1138034013.1600001</v>
          </cell>
        </row>
      </sheetData>
      <sheetData sheetId="73" refreshError="1"/>
      <sheetData sheetId="74" refreshError="1"/>
      <sheetData sheetId="75">
        <row r="10">
          <cell r="F10">
            <v>112144625.84000003</v>
          </cell>
          <cell r="R10">
            <v>0</v>
          </cell>
          <cell r="T10">
            <v>0</v>
          </cell>
          <cell r="AH10">
            <v>217781.07</v>
          </cell>
          <cell r="AJ10">
            <v>0</v>
          </cell>
          <cell r="AX10">
            <v>0</v>
          </cell>
          <cell r="BB10">
            <v>0</v>
          </cell>
          <cell r="BF10">
            <v>0</v>
          </cell>
          <cell r="BR10">
            <v>0</v>
          </cell>
          <cell r="BT10">
            <v>435000</v>
          </cell>
          <cell r="BV10">
            <v>70964.89</v>
          </cell>
          <cell r="CB10">
            <v>2073113.5099999998</v>
          </cell>
          <cell r="CD10">
            <v>0</v>
          </cell>
          <cell r="CH10">
            <v>5900400</v>
          </cell>
          <cell r="CR10">
            <v>0</v>
          </cell>
          <cell r="DX10">
            <v>0</v>
          </cell>
          <cell r="DZ10">
            <v>0</v>
          </cell>
          <cell r="FB10">
            <v>41637.529999999984</v>
          </cell>
          <cell r="FD10">
            <v>0</v>
          </cell>
          <cell r="FF10">
            <v>0</v>
          </cell>
          <cell r="FH10">
            <v>118506.83</v>
          </cell>
          <cell r="FJ10">
            <v>41637.529999999984</v>
          </cell>
          <cell r="FL10">
            <v>0</v>
          </cell>
          <cell r="FN10">
            <v>0</v>
          </cell>
          <cell r="FP10">
            <v>118506.83</v>
          </cell>
          <cell r="FV10">
            <v>0</v>
          </cell>
          <cell r="FX10">
            <v>0</v>
          </cell>
          <cell r="GF10">
            <v>0</v>
          </cell>
          <cell r="GH10">
            <v>5000000</v>
          </cell>
          <cell r="GJ10">
            <v>0</v>
          </cell>
          <cell r="GP10">
            <v>5000000</v>
          </cell>
          <cell r="GR10">
            <v>0</v>
          </cell>
          <cell r="HJ10">
            <v>0</v>
          </cell>
          <cell r="HL10">
            <v>43666625.600000001</v>
          </cell>
          <cell r="HN10">
            <v>4799000</v>
          </cell>
          <cell r="HR10">
            <v>2291323.2400000002</v>
          </cell>
          <cell r="HT10">
            <v>0</v>
          </cell>
          <cell r="HV10">
            <v>43666625.600000001</v>
          </cell>
          <cell r="HX10">
            <v>0</v>
          </cell>
          <cell r="HZ10">
            <v>6788616.8200000003</v>
          </cell>
          <cell r="IB10">
            <v>16445000</v>
          </cell>
          <cell r="ID10">
            <v>357295.62000000011</v>
          </cell>
          <cell r="IF10">
            <v>0</v>
          </cell>
          <cell r="IH10">
            <v>0</v>
          </cell>
          <cell r="IJ10">
            <v>6788616.8200000003</v>
          </cell>
          <cell r="IR10">
            <v>0</v>
          </cell>
          <cell r="IT10">
            <v>0</v>
          </cell>
          <cell r="JB10">
            <v>0</v>
          </cell>
          <cell r="JD10">
            <v>0</v>
          </cell>
          <cell r="JN10">
            <v>0</v>
          </cell>
          <cell r="JZ10">
            <v>0</v>
          </cell>
          <cell r="KF10">
            <v>0</v>
          </cell>
          <cell r="KN10">
            <v>0</v>
          </cell>
          <cell r="KP10">
            <v>0</v>
          </cell>
          <cell r="KR10">
            <v>0</v>
          </cell>
          <cell r="KV10">
            <v>0</v>
          </cell>
          <cell r="KZ10">
            <v>0</v>
          </cell>
          <cell r="LB10">
            <v>0</v>
          </cell>
          <cell r="LF10">
            <v>20513806.809999999</v>
          </cell>
          <cell r="LH10">
            <v>0</v>
          </cell>
          <cell r="LV10">
            <v>0</v>
          </cell>
          <cell r="MR10">
            <v>0</v>
          </cell>
          <cell r="MT10">
            <v>0</v>
          </cell>
          <cell r="ND10">
            <v>832650</v>
          </cell>
          <cell r="NF10">
            <v>0</v>
          </cell>
          <cell r="NH10">
            <v>0</v>
          </cell>
          <cell r="NJ10">
            <v>0</v>
          </cell>
          <cell r="NL10">
            <v>0</v>
          </cell>
          <cell r="NN10">
            <v>547309.22</v>
          </cell>
          <cell r="NP10">
            <v>45962.79</v>
          </cell>
          <cell r="NR10">
            <v>538380.75</v>
          </cell>
          <cell r="NT10">
            <v>0</v>
          </cell>
          <cell r="NV10">
            <v>0</v>
          </cell>
          <cell r="NX10">
            <v>0</v>
          </cell>
          <cell r="NZ10">
            <v>547309.22</v>
          </cell>
          <cell r="OB10">
            <v>45962.79</v>
          </cell>
          <cell r="OD10">
            <v>539880</v>
          </cell>
          <cell r="OF10">
            <v>112110</v>
          </cell>
          <cell r="OH10">
            <v>49290</v>
          </cell>
          <cell r="OJ10">
            <v>691479.65</v>
          </cell>
          <cell r="OP10">
            <v>539880</v>
          </cell>
          <cell r="OR10">
            <v>58676.6</v>
          </cell>
          <cell r="OT10">
            <v>102723.4</v>
          </cell>
          <cell r="OV10">
            <v>691479.65</v>
          </cell>
          <cell r="OY10">
            <v>0</v>
          </cell>
          <cell r="PA10">
            <v>0</v>
          </cell>
          <cell r="PC10">
            <v>0</v>
          </cell>
          <cell r="PK10">
            <v>0</v>
          </cell>
          <cell r="PM10">
            <v>0</v>
          </cell>
          <cell r="PW10">
            <v>68491.509999999995</v>
          </cell>
        </row>
        <row r="11">
          <cell r="R11">
            <v>0</v>
          </cell>
          <cell r="T11">
            <v>0</v>
          </cell>
          <cell r="AH11">
            <v>222464.53</v>
          </cell>
          <cell r="AJ11">
            <v>0</v>
          </cell>
          <cell r="AX11">
            <v>157442.10999999987</v>
          </cell>
          <cell r="AZ11">
            <v>2991400</v>
          </cell>
          <cell r="BB11">
            <v>0</v>
          </cell>
          <cell r="BF11">
            <v>0</v>
          </cell>
          <cell r="BR11">
            <v>2304447.2599999998</v>
          </cell>
          <cell r="BT11">
            <v>458000</v>
          </cell>
          <cell r="BV11">
            <v>235978.23999999999</v>
          </cell>
          <cell r="CB11">
            <v>0</v>
          </cell>
          <cell r="CD11">
            <v>0</v>
          </cell>
          <cell r="CR11">
            <v>0</v>
          </cell>
          <cell r="DX11">
            <v>13043.48</v>
          </cell>
          <cell r="DZ11">
            <v>0</v>
          </cell>
          <cell r="FB11">
            <v>62906.790000000008</v>
          </cell>
          <cell r="FD11">
            <v>0</v>
          </cell>
          <cell r="FF11">
            <v>0</v>
          </cell>
          <cell r="FH11">
            <v>179042.41</v>
          </cell>
          <cell r="FJ11">
            <v>62906.790000000008</v>
          </cell>
          <cell r="FL11">
            <v>0</v>
          </cell>
          <cell r="FN11">
            <v>0</v>
          </cell>
          <cell r="FP11">
            <v>179042.41</v>
          </cell>
          <cell r="FR11">
            <v>92125100</v>
          </cell>
          <cell r="FT11">
            <v>92125100</v>
          </cell>
          <cell r="FV11">
            <v>930556.57</v>
          </cell>
          <cell r="FX11">
            <v>930556.57</v>
          </cell>
          <cell r="FZ11">
            <v>92125100</v>
          </cell>
          <cell r="GB11">
            <v>92125100</v>
          </cell>
          <cell r="GD11">
            <v>26000000</v>
          </cell>
          <cell r="GF11">
            <v>1368421.3999999985</v>
          </cell>
          <cell r="GH11">
            <v>1368421.3999999985</v>
          </cell>
          <cell r="GJ11">
            <v>0</v>
          </cell>
          <cell r="GL11">
            <v>26000000</v>
          </cell>
          <cell r="GN11">
            <v>26000000</v>
          </cell>
          <cell r="GP11">
            <v>0</v>
          </cell>
          <cell r="GR11">
            <v>0</v>
          </cell>
          <cell r="HJ11">
            <v>0</v>
          </cell>
          <cell r="HL11">
            <v>49290000</v>
          </cell>
          <cell r="HN11">
            <v>7248000</v>
          </cell>
          <cell r="HP11">
            <v>113376690</v>
          </cell>
          <cell r="HR11">
            <v>3934533.18</v>
          </cell>
          <cell r="HT11">
            <v>0</v>
          </cell>
          <cell r="HV11">
            <v>49290000</v>
          </cell>
          <cell r="HX11">
            <v>0</v>
          </cell>
          <cell r="HZ11">
            <v>113376690</v>
          </cell>
          <cell r="IB11">
            <v>4650000</v>
          </cell>
          <cell r="ID11">
            <v>0</v>
          </cell>
          <cell r="IF11">
            <v>0</v>
          </cell>
          <cell r="IH11">
            <v>0</v>
          </cell>
          <cell r="IR11">
            <v>0</v>
          </cell>
          <cell r="IT11">
            <v>87105.579999999842</v>
          </cell>
          <cell r="IZ11">
            <v>1655006.05</v>
          </cell>
          <cell r="JB11">
            <v>0</v>
          </cell>
          <cell r="JD11">
            <v>67922.45</v>
          </cell>
          <cell r="JJ11">
            <v>1290526.6400000001</v>
          </cell>
          <cell r="JN11">
            <v>0</v>
          </cell>
          <cell r="JZ11">
            <v>0</v>
          </cell>
          <cell r="KF11">
            <v>123288200</v>
          </cell>
          <cell r="KN11">
            <v>0</v>
          </cell>
          <cell r="KP11">
            <v>0</v>
          </cell>
          <cell r="KR11">
            <v>123288200</v>
          </cell>
          <cell r="KV11">
            <v>19668962.129999999</v>
          </cell>
          <cell r="KZ11">
            <v>0</v>
          </cell>
          <cell r="LB11">
            <v>0</v>
          </cell>
          <cell r="LF11">
            <v>21800347.690000001</v>
          </cell>
          <cell r="LH11">
            <v>19668962.129999999</v>
          </cell>
          <cell r="LV11">
            <v>0</v>
          </cell>
          <cell r="MR11">
            <v>0</v>
          </cell>
          <cell r="MT11">
            <v>64600000</v>
          </cell>
          <cell r="MV11">
            <v>64600000</v>
          </cell>
          <cell r="ND11">
            <v>53000000</v>
          </cell>
          <cell r="NF11">
            <v>64600000</v>
          </cell>
          <cell r="NH11">
            <v>64600000</v>
          </cell>
          <cell r="NJ11">
            <v>0</v>
          </cell>
          <cell r="NL11">
            <v>5010800</v>
          </cell>
          <cell r="NN11">
            <v>520381.94</v>
          </cell>
          <cell r="NP11">
            <v>1154646.1299999999</v>
          </cell>
          <cell r="NR11">
            <v>0</v>
          </cell>
          <cell r="NT11">
            <v>0</v>
          </cell>
          <cell r="NV11">
            <v>0</v>
          </cell>
          <cell r="NX11">
            <v>5010800</v>
          </cell>
          <cell r="NZ11">
            <v>520381.94</v>
          </cell>
          <cell r="OB11">
            <v>1154646.1299999999</v>
          </cell>
          <cell r="OD11">
            <v>2073510.6099999999</v>
          </cell>
          <cell r="OF11">
            <v>935850</v>
          </cell>
          <cell r="OH11">
            <v>1650230</v>
          </cell>
          <cell r="OJ11">
            <v>462418.86</v>
          </cell>
          <cell r="OP11">
            <v>2073510.6099999999</v>
          </cell>
          <cell r="OR11">
            <v>940163.4</v>
          </cell>
          <cell r="OT11">
            <v>1645916.6</v>
          </cell>
          <cell r="OV11">
            <v>462418.86</v>
          </cell>
          <cell r="OY11">
            <v>905946.91000000015</v>
          </cell>
          <cell r="PA11">
            <v>249161.56</v>
          </cell>
          <cell r="PC11">
            <v>0</v>
          </cell>
          <cell r="PK11">
            <v>0</v>
          </cell>
          <cell r="PM11">
            <v>0</v>
          </cell>
          <cell r="PW11">
            <v>0</v>
          </cell>
        </row>
        <row r="12">
          <cell r="R12">
            <v>0</v>
          </cell>
          <cell r="T12">
            <v>0</v>
          </cell>
          <cell r="AH12">
            <v>227354.49</v>
          </cell>
          <cell r="AJ12">
            <v>0</v>
          </cell>
          <cell r="AX12">
            <v>0</v>
          </cell>
          <cell r="BB12">
            <v>0</v>
          </cell>
          <cell r="BF12">
            <v>0</v>
          </cell>
          <cell r="BR12">
            <v>1474819.08</v>
          </cell>
          <cell r="BT12">
            <v>0</v>
          </cell>
          <cell r="BV12">
            <v>183099.06</v>
          </cell>
          <cell r="CB12">
            <v>0</v>
          </cell>
          <cell r="CD12">
            <v>0</v>
          </cell>
          <cell r="CR12">
            <v>0</v>
          </cell>
          <cell r="DX12">
            <v>0</v>
          </cell>
          <cell r="DZ12">
            <v>0</v>
          </cell>
          <cell r="FB12">
            <v>75940.920000000013</v>
          </cell>
          <cell r="FD12">
            <v>0</v>
          </cell>
          <cell r="FF12">
            <v>0</v>
          </cell>
          <cell r="FH12">
            <v>216139.53</v>
          </cell>
          <cell r="FJ12">
            <v>75940.920000000013</v>
          </cell>
          <cell r="FL12">
            <v>0</v>
          </cell>
          <cell r="FN12">
            <v>0</v>
          </cell>
          <cell r="FP12">
            <v>216139.53</v>
          </cell>
          <cell r="FR12">
            <v>72384000</v>
          </cell>
          <cell r="FT12">
            <v>72384000</v>
          </cell>
          <cell r="FV12">
            <v>731151.52</v>
          </cell>
          <cell r="FX12">
            <v>731151.52</v>
          </cell>
          <cell r="FZ12">
            <v>72384000</v>
          </cell>
          <cell r="GB12">
            <v>72384000</v>
          </cell>
          <cell r="GD12">
            <v>15600000</v>
          </cell>
          <cell r="GF12">
            <v>821052.83999999985</v>
          </cell>
          <cell r="GH12">
            <v>821052.83999999985</v>
          </cell>
          <cell r="GJ12">
            <v>11136045.08</v>
          </cell>
          <cell r="GL12">
            <v>15600000</v>
          </cell>
          <cell r="GN12">
            <v>15600000</v>
          </cell>
          <cell r="GP12">
            <v>0</v>
          </cell>
          <cell r="GR12">
            <v>11136045.08</v>
          </cell>
          <cell r="HJ12">
            <v>0</v>
          </cell>
          <cell r="HL12">
            <v>36031778</v>
          </cell>
          <cell r="HN12">
            <v>26193000</v>
          </cell>
          <cell r="HP12">
            <v>52733881.299999997</v>
          </cell>
          <cell r="HR12">
            <v>12643800</v>
          </cell>
          <cell r="HT12">
            <v>0</v>
          </cell>
          <cell r="HV12">
            <v>36031778</v>
          </cell>
          <cell r="HX12">
            <v>1012337.620000001</v>
          </cell>
          <cell r="HZ12">
            <v>52733881.299999997</v>
          </cell>
          <cell r="IB12">
            <v>40380530.880000003</v>
          </cell>
          <cell r="ID12">
            <v>0</v>
          </cell>
          <cell r="IF12">
            <v>1012337.620000001</v>
          </cell>
          <cell r="IH12">
            <v>1012337.620000001</v>
          </cell>
          <cell r="IL12">
            <v>19234414.34</v>
          </cell>
          <cell r="IN12">
            <v>19234414.34</v>
          </cell>
          <cell r="IR12">
            <v>0</v>
          </cell>
          <cell r="IT12">
            <v>85037.129999999888</v>
          </cell>
          <cell r="IZ12">
            <v>1615705.51</v>
          </cell>
          <cell r="JB12">
            <v>0</v>
          </cell>
          <cell r="JD12">
            <v>85037.129999999888</v>
          </cell>
          <cell r="JJ12">
            <v>1615705.51</v>
          </cell>
          <cell r="JN12">
            <v>0</v>
          </cell>
          <cell r="JZ12">
            <v>0</v>
          </cell>
          <cell r="KF12">
            <v>0</v>
          </cell>
          <cell r="KN12">
            <v>47088003.100000001</v>
          </cell>
          <cell r="KP12">
            <v>0</v>
          </cell>
          <cell r="KR12">
            <v>0</v>
          </cell>
          <cell r="KV12">
            <v>8457381.1999999993</v>
          </cell>
          <cell r="KZ12">
            <v>47088003.100000001</v>
          </cell>
          <cell r="LB12">
            <v>0</v>
          </cell>
          <cell r="LF12">
            <v>25973874.800000001</v>
          </cell>
          <cell r="LH12">
            <v>8457381.1999999993</v>
          </cell>
          <cell r="MT12">
            <v>0</v>
          </cell>
          <cell r="MV12">
            <v>0</v>
          </cell>
          <cell r="NF12">
            <v>0</v>
          </cell>
          <cell r="NH12">
            <v>0</v>
          </cell>
          <cell r="NJ12">
            <v>649075.68000000005</v>
          </cell>
          <cell r="NL12">
            <v>4381800</v>
          </cell>
          <cell r="NN12">
            <v>1345029.46</v>
          </cell>
          <cell r="NP12">
            <v>1342716.54</v>
          </cell>
          <cell r="NR12">
            <v>0</v>
          </cell>
          <cell r="NT12">
            <v>649075.68000000005</v>
          </cell>
          <cell r="NV12">
            <v>649075.68000000005</v>
          </cell>
          <cell r="NX12">
            <v>4381800</v>
          </cell>
          <cell r="NZ12">
            <v>1345029.46</v>
          </cell>
          <cell r="OB12">
            <v>1342716.54</v>
          </cell>
          <cell r="OD12">
            <v>845440</v>
          </cell>
          <cell r="OF12">
            <v>21810</v>
          </cell>
          <cell r="OH12">
            <v>39310</v>
          </cell>
          <cell r="OJ12">
            <v>461551.64</v>
          </cell>
          <cell r="OP12">
            <v>845440</v>
          </cell>
          <cell r="OR12">
            <v>22220.03</v>
          </cell>
          <cell r="OT12">
            <v>38899.97</v>
          </cell>
          <cell r="OV12">
            <v>461551.64</v>
          </cell>
          <cell r="OY12">
            <v>254076.59</v>
          </cell>
          <cell r="PA12">
            <v>0</v>
          </cell>
          <cell r="PC12">
            <v>96605.22</v>
          </cell>
          <cell r="PK12">
            <v>0</v>
          </cell>
          <cell r="PM12">
            <v>0</v>
          </cell>
          <cell r="PW12">
            <v>123062.33</v>
          </cell>
        </row>
        <row r="13">
          <cell r="AH13">
            <v>220097.89</v>
          </cell>
          <cell r="BR13">
            <v>2304447.2599999998</v>
          </cell>
          <cell r="BV13">
            <v>117661.4</v>
          </cell>
          <cell r="CR13">
            <v>1671589.1900000004</v>
          </cell>
          <cell r="CT13">
            <v>4757600</v>
          </cell>
          <cell r="DX13">
            <v>7826.1</v>
          </cell>
          <cell r="FB13">
            <v>65544.639999999985</v>
          </cell>
          <cell r="FH13">
            <v>186550.13</v>
          </cell>
          <cell r="FJ13">
            <v>65544.639999999985</v>
          </cell>
          <cell r="FP13">
            <v>186550.13</v>
          </cell>
          <cell r="GJ13">
            <v>17630865.18</v>
          </cell>
          <cell r="GR13">
            <v>17630865.18</v>
          </cell>
          <cell r="HJ13">
            <v>0</v>
          </cell>
          <cell r="HL13">
            <v>53236900</v>
          </cell>
          <cell r="HN13">
            <v>40607000</v>
          </cell>
          <cell r="HR13">
            <v>26779017.289999999</v>
          </cell>
          <cell r="HT13">
            <v>0</v>
          </cell>
          <cell r="HV13">
            <v>53236900</v>
          </cell>
          <cell r="IB13">
            <v>40600000</v>
          </cell>
          <cell r="IF13">
            <v>655041.97000000067</v>
          </cell>
          <cell r="IL13">
            <v>12445797.51</v>
          </cell>
          <cell r="KZ13">
            <v>50000000</v>
          </cell>
          <cell r="LF13">
            <v>26829232.25</v>
          </cell>
          <cell r="MR13">
            <v>19608000</v>
          </cell>
          <cell r="ND13">
            <v>25281770</v>
          </cell>
          <cell r="NF13">
            <v>1632199.98</v>
          </cell>
          <cell r="NN13">
            <v>1473574.35</v>
          </cell>
          <cell r="NP13">
            <v>1606199.92</v>
          </cell>
          <cell r="NZ13">
            <v>1473574.35</v>
          </cell>
          <cell r="OB13">
            <v>1606199.92</v>
          </cell>
          <cell r="OD13">
            <v>3497891.64</v>
          </cell>
          <cell r="OF13">
            <v>16680</v>
          </cell>
          <cell r="OH13">
            <v>29090</v>
          </cell>
          <cell r="OJ13">
            <v>353490.17</v>
          </cell>
          <cell r="OP13">
            <v>3497891.64</v>
          </cell>
          <cell r="OR13">
            <v>16639.580000000002</v>
          </cell>
          <cell r="OT13">
            <v>29130.42</v>
          </cell>
          <cell r="OV13">
            <v>353490.17</v>
          </cell>
          <cell r="OY13">
            <v>423386.08000000007</v>
          </cell>
          <cell r="PA13">
            <v>0</v>
          </cell>
          <cell r="PM13">
            <v>0</v>
          </cell>
        </row>
        <row r="14">
          <cell r="R14">
            <v>0</v>
          </cell>
          <cell r="T14">
            <v>0</v>
          </cell>
          <cell r="AH14">
            <v>215512.51</v>
          </cell>
          <cell r="AJ14">
            <v>0</v>
          </cell>
          <cell r="AX14">
            <v>0</v>
          </cell>
          <cell r="BB14">
            <v>0</v>
          </cell>
          <cell r="BF14">
            <v>0</v>
          </cell>
          <cell r="BR14">
            <v>2304447.2599999998</v>
          </cell>
          <cell r="BT14">
            <v>0</v>
          </cell>
          <cell r="BV14">
            <v>171689.25</v>
          </cell>
          <cell r="CB14">
            <v>0</v>
          </cell>
          <cell r="CD14">
            <v>0</v>
          </cell>
          <cell r="CR14">
            <v>0</v>
          </cell>
          <cell r="DX14">
            <v>38260.870000000003</v>
          </cell>
          <cell r="DZ14">
            <v>0</v>
          </cell>
          <cell r="FB14">
            <v>82582.949999999983</v>
          </cell>
          <cell r="FD14">
            <v>0</v>
          </cell>
          <cell r="FF14">
            <v>0</v>
          </cell>
          <cell r="FH14">
            <v>235043.77</v>
          </cell>
          <cell r="FJ14">
            <v>82582.949999999983</v>
          </cell>
          <cell r="FL14">
            <v>0</v>
          </cell>
          <cell r="FN14">
            <v>0</v>
          </cell>
          <cell r="FP14">
            <v>235043.77</v>
          </cell>
          <cell r="FV14">
            <v>0</v>
          </cell>
          <cell r="FX14">
            <v>0</v>
          </cell>
          <cell r="FZ14">
            <v>0</v>
          </cell>
          <cell r="GF14">
            <v>0</v>
          </cell>
          <cell r="GH14">
            <v>0</v>
          </cell>
          <cell r="GJ14">
            <v>0</v>
          </cell>
          <cell r="GP14">
            <v>15000000</v>
          </cell>
          <cell r="GR14">
            <v>0</v>
          </cell>
          <cell r="HJ14">
            <v>0</v>
          </cell>
          <cell r="HL14">
            <v>51003088.5</v>
          </cell>
          <cell r="HN14">
            <v>53305000</v>
          </cell>
          <cell r="HR14">
            <v>33007941.620000001</v>
          </cell>
          <cell r="HT14">
            <v>0</v>
          </cell>
          <cell r="HV14">
            <v>51003088.5</v>
          </cell>
          <cell r="HZ14">
            <v>110880741.45</v>
          </cell>
          <cell r="IB14">
            <v>36919009.979999997</v>
          </cell>
          <cell r="ID14">
            <v>5835828.4599999934</v>
          </cell>
          <cell r="IF14">
            <v>0</v>
          </cell>
          <cell r="IJ14">
            <v>110880741.45</v>
          </cell>
          <cell r="IR14">
            <v>170701.76000000024</v>
          </cell>
          <cell r="IT14">
            <v>0</v>
          </cell>
          <cell r="IX14">
            <v>3243333.44</v>
          </cell>
          <cell r="JB14">
            <v>152102.69</v>
          </cell>
          <cell r="JD14">
            <v>0</v>
          </cell>
          <cell r="JH14">
            <v>2889951.19</v>
          </cell>
          <cell r="JN14">
            <v>8267795.29</v>
          </cell>
          <cell r="JP14">
            <v>157087380.22999999</v>
          </cell>
          <cell r="JZ14">
            <v>32433352.629999995</v>
          </cell>
          <cell r="KF14">
            <v>616233700</v>
          </cell>
          <cell r="KN14">
            <v>0</v>
          </cell>
          <cell r="KP14">
            <v>0</v>
          </cell>
          <cell r="KR14">
            <v>0</v>
          </cell>
          <cell r="KV14">
            <v>0</v>
          </cell>
          <cell r="KZ14">
            <v>0</v>
          </cell>
          <cell r="LB14">
            <v>0</v>
          </cell>
          <cell r="LF14">
            <v>35144776.350000001</v>
          </cell>
          <cell r="LH14">
            <v>0</v>
          </cell>
          <cell r="LV14">
            <v>0</v>
          </cell>
          <cell r="MH14">
            <v>6726687.7300000004</v>
          </cell>
          <cell r="MR14">
            <v>0</v>
          </cell>
          <cell r="MT14">
            <v>6726687.7300000004</v>
          </cell>
          <cell r="ND14">
            <v>0</v>
          </cell>
          <cell r="NF14">
            <v>0</v>
          </cell>
          <cell r="NH14">
            <v>0</v>
          </cell>
          <cell r="NJ14">
            <v>0</v>
          </cell>
          <cell r="NL14">
            <v>0</v>
          </cell>
          <cell r="NN14">
            <v>299720.09000000003</v>
          </cell>
          <cell r="NP14">
            <v>115404.56</v>
          </cell>
          <cell r="NR14">
            <v>0</v>
          </cell>
          <cell r="NT14">
            <v>0</v>
          </cell>
          <cell r="NV14">
            <v>0</v>
          </cell>
          <cell r="NX14">
            <v>0</v>
          </cell>
          <cell r="NZ14">
            <v>299720.09000000003</v>
          </cell>
          <cell r="OB14">
            <v>115404.56</v>
          </cell>
          <cell r="OD14">
            <v>995830</v>
          </cell>
          <cell r="OF14">
            <v>113870</v>
          </cell>
          <cell r="OH14">
            <v>205190</v>
          </cell>
          <cell r="OJ14">
            <v>227717.34</v>
          </cell>
          <cell r="OP14">
            <v>995830</v>
          </cell>
          <cell r="OR14">
            <v>115993.52</v>
          </cell>
          <cell r="OT14">
            <v>203066.48</v>
          </cell>
          <cell r="OV14">
            <v>227717.34</v>
          </cell>
          <cell r="OY14">
            <v>0</v>
          </cell>
          <cell r="PA14">
            <v>0</v>
          </cell>
          <cell r="PC14">
            <v>96358.3</v>
          </cell>
          <cell r="PK14">
            <v>0</v>
          </cell>
          <cell r="PM14">
            <v>0</v>
          </cell>
          <cell r="PW14">
            <v>108055.36</v>
          </cell>
        </row>
        <row r="15">
          <cell r="R15">
            <v>0</v>
          </cell>
          <cell r="T15">
            <v>0</v>
          </cell>
          <cell r="AH15">
            <v>220097.89</v>
          </cell>
          <cell r="AJ15">
            <v>0</v>
          </cell>
          <cell r="AX15">
            <v>0</v>
          </cell>
          <cell r="BB15">
            <v>0</v>
          </cell>
          <cell r="BF15">
            <v>0</v>
          </cell>
          <cell r="BR15">
            <v>0</v>
          </cell>
          <cell r="BT15">
            <v>0</v>
          </cell>
          <cell r="BV15">
            <v>58636.800000000003</v>
          </cell>
          <cell r="CB15">
            <v>0</v>
          </cell>
          <cell r="CD15">
            <v>0</v>
          </cell>
          <cell r="CR15">
            <v>0</v>
          </cell>
          <cell r="DX15">
            <v>0</v>
          </cell>
          <cell r="DZ15">
            <v>0</v>
          </cell>
          <cell r="FB15">
            <v>21600.03</v>
          </cell>
          <cell r="FD15">
            <v>0</v>
          </cell>
          <cell r="FF15">
            <v>0</v>
          </cell>
          <cell r="FH15">
            <v>61477</v>
          </cell>
          <cell r="FJ15">
            <v>21600.03</v>
          </cell>
          <cell r="FL15">
            <v>0</v>
          </cell>
          <cell r="FN15">
            <v>0</v>
          </cell>
          <cell r="FP15">
            <v>61477</v>
          </cell>
          <cell r="FV15">
            <v>0</v>
          </cell>
          <cell r="FX15">
            <v>0</v>
          </cell>
          <cell r="FZ15">
            <v>0</v>
          </cell>
          <cell r="GF15">
            <v>0</v>
          </cell>
          <cell r="GH15">
            <v>0</v>
          </cell>
          <cell r="GJ15">
            <v>9893329.0199999996</v>
          </cell>
          <cell r="GP15">
            <v>0</v>
          </cell>
          <cell r="GR15">
            <v>9893329.0199999996</v>
          </cell>
          <cell r="HJ15">
            <v>0</v>
          </cell>
          <cell r="HL15">
            <v>46638015.740000002</v>
          </cell>
          <cell r="HN15">
            <v>0</v>
          </cell>
          <cell r="HR15">
            <v>0</v>
          </cell>
          <cell r="HT15">
            <v>0</v>
          </cell>
          <cell r="HV15">
            <v>46638015.740000002</v>
          </cell>
          <cell r="IB15">
            <v>23359400</v>
          </cell>
          <cell r="ID15">
            <v>0</v>
          </cell>
          <cell r="IF15">
            <v>0</v>
          </cell>
          <cell r="IR15">
            <v>0</v>
          </cell>
          <cell r="IT15">
            <v>99750</v>
          </cell>
          <cell r="IZ15">
            <v>1895250</v>
          </cell>
          <cell r="JB15">
            <v>0</v>
          </cell>
          <cell r="JD15">
            <v>84359.8</v>
          </cell>
          <cell r="JJ15">
            <v>1602836.18</v>
          </cell>
          <cell r="JN15">
            <v>0</v>
          </cell>
          <cell r="JZ15">
            <v>0</v>
          </cell>
          <cell r="KF15">
            <v>0</v>
          </cell>
          <cell r="KN15">
            <v>0</v>
          </cell>
          <cell r="KP15">
            <v>0</v>
          </cell>
          <cell r="KR15">
            <v>0</v>
          </cell>
          <cell r="KV15">
            <v>0</v>
          </cell>
          <cell r="KZ15">
            <v>77482340</v>
          </cell>
          <cell r="LB15">
            <v>0</v>
          </cell>
          <cell r="LF15">
            <v>28930096.879999999</v>
          </cell>
          <cell r="LH15">
            <v>0</v>
          </cell>
          <cell r="LV15">
            <v>0</v>
          </cell>
          <cell r="MR15">
            <v>3412200</v>
          </cell>
          <cell r="MT15">
            <v>0</v>
          </cell>
          <cell r="ND15">
            <v>3412200</v>
          </cell>
          <cell r="NF15">
            <v>0</v>
          </cell>
          <cell r="NH15">
            <v>0</v>
          </cell>
          <cell r="NJ15">
            <v>0</v>
          </cell>
          <cell r="NL15">
            <v>0</v>
          </cell>
          <cell r="NN15">
            <v>2799964.8</v>
          </cell>
          <cell r="NP15">
            <v>714627.81</v>
          </cell>
          <cell r="NR15">
            <v>0</v>
          </cell>
          <cell r="NT15">
            <v>0</v>
          </cell>
          <cell r="NV15">
            <v>0</v>
          </cell>
          <cell r="NX15">
            <v>0</v>
          </cell>
          <cell r="NZ15">
            <v>4082900.84</v>
          </cell>
          <cell r="OB15">
            <v>714627.81</v>
          </cell>
          <cell r="OD15">
            <v>399890</v>
          </cell>
          <cell r="OF15">
            <v>37850</v>
          </cell>
          <cell r="OH15">
            <v>66040</v>
          </cell>
          <cell r="OJ15">
            <v>256948.80000000002</v>
          </cell>
          <cell r="OP15">
            <v>399890</v>
          </cell>
          <cell r="OR15">
            <v>37768.97</v>
          </cell>
          <cell r="OT15">
            <v>66121.03</v>
          </cell>
          <cell r="OV15">
            <v>256948.80000000002</v>
          </cell>
          <cell r="OY15">
            <v>249832.9</v>
          </cell>
          <cell r="PA15">
            <v>110521.44</v>
          </cell>
          <cell r="PC15">
            <v>78716.2</v>
          </cell>
          <cell r="PG15">
            <v>312911.32</v>
          </cell>
          <cell r="PK15">
            <v>0</v>
          </cell>
          <cell r="PM15">
            <v>110521.44</v>
          </cell>
          <cell r="PS15">
            <v>312911.32</v>
          </cell>
          <cell r="PW15">
            <v>109127.28</v>
          </cell>
        </row>
        <row r="16">
          <cell r="R16">
            <v>0</v>
          </cell>
          <cell r="T16">
            <v>0</v>
          </cell>
          <cell r="AH16">
            <v>211633.29</v>
          </cell>
          <cell r="AJ16">
            <v>476800</v>
          </cell>
          <cell r="AX16">
            <v>0</v>
          </cell>
          <cell r="BB16">
            <v>0</v>
          </cell>
          <cell r="BF16">
            <v>0</v>
          </cell>
          <cell r="BR16">
            <v>3666100.82</v>
          </cell>
          <cell r="BT16">
            <v>0</v>
          </cell>
          <cell r="BV16">
            <v>200460.76</v>
          </cell>
          <cell r="CB16">
            <v>0</v>
          </cell>
          <cell r="CD16">
            <v>0</v>
          </cell>
          <cell r="CR16">
            <v>0</v>
          </cell>
          <cell r="DX16">
            <v>12173.91</v>
          </cell>
          <cell r="DZ16">
            <v>0</v>
          </cell>
          <cell r="FB16">
            <v>41042.409999999989</v>
          </cell>
          <cell r="FD16">
            <v>0</v>
          </cell>
          <cell r="FF16">
            <v>0</v>
          </cell>
          <cell r="FH16">
            <v>116813.02</v>
          </cell>
          <cell r="FJ16">
            <v>41042.409999999989</v>
          </cell>
          <cell r="FL16">
            <v>0</v>
          </cell>
          <cell r="FN16">
            <v>0</v>
          </cell>
          <cell r="FP16">
            <v>116813.02</v>
          </cell>
          <cell r="FV16">
            <v>0</v>
          </cell>
          <cell r="FX16">
            <v>0</v>
          </cell>
          <cell r="FZ16">
            <v>0</v>
          </cell>
          <cell r="GF16">
            <v>0</v>
          </cell>
          <cell r="GH16">
            <v>0</v>
          </cell>
          <cell r="GJ16">
            <v>18504809.469999999</v>
          </cell>
          <cell r="GP16">
            <v>0</v>
          </cell>
          <cell r="GR16">
            <v>18504809.469999999</v>
          </cell>
          <cell r="HJ16">
            <v>0</v>
          </cell>
          <cell r="HL16">
            <v>0</v>
          </cell>
          <cell r="HN16">
            <v>0</v>
          </cell>
          <cell r="HR16">
            <v>0</v>
          </cell>
          <cell r="HT16">
            <v>0</v>
          </cell>
          <cell r="HV16">
            <v>0</v>
          </cell>
          <cell r="IB16">
            <v>0</v>
          </cell>
          <cell r="ID16">
            <v>0</v>
          </cell>
          <cell r="IF16">
            <v>0</v>
          </cell>
          <cell r="IR16">
            <v>0</v>
          </cell>
          <cell r="IT16">
            <v>0</v>
          </cell>
          <cell r="JB16">
            <v>0</v>
          </cell>
          <cell r="JD16">
            <v>0</v>
          </cell>
          <cell r="JN16">
            <v>0</v>
          </cell>
          <cell r="JZ16">
            <v>0</v>
          </cell>
          <cell r="KF16">
            <v>0</v>
          </cell>
          <cell r="KN16">
            <v>0</v>
          </cell>
          <cell r="KP16">
            <v>0</v>
          </cell>
          <cell r="KR16">
            <v>0</v>
          </cell>
          <cell r="KV16">
            <v>0</v>
          </cell>
          <cell r="KZ16">
            <v>0</v>
          </cell>
          <cell r="LB16">
            <v>0</v>
          </cell>
          <cell r="LF16">
            <v>24304986.239999998</v>
          </cell>
          <cell r="LH16">
            <v>0</v>
          </cell>
          <cell r="LV16">
            <v>0</v>
          </cell>
          <cell r="MR16">
            <v>0</v>
          </cell>
          <cell r="MT16">
            <v>0</v>
          </cell>
          <cell r="ND16">
            <v>0</v>
          </cell>
          <cell r="NF16">
            <v>0</v>
          </cell>
          <cell r="NH16">
            <v>0</v>
          </cell>
          <cell r="NJ16">
            <v>0</v>
          </cell>
          <cell r="NL16">
            <v>1484400</v>
          </cell>
          <cell r="NN16">
            <v>923239.44</v>
          </cell>
          <cell r="NP16">
            <v>1518660.02</v>
          </cell>
          <cell r="NR16">
            <v>530548.81999999995</v>
          </cell>
          <cell r="NT16">
            <v>0</v>
          </cell>
          <cell r="NV16">
            <v>0</v>
          </cell>
          <cell r="NX16">
            <v>1484400</v>
          </cell>
          <cell r="NZ16">
            <v>923239.44</v>
          </cell>
          <cell r="OB16">
            <v>1518660.02</v>
          </cell>
          <cell r="OD16">
            <v>941710</v>
          </cell>
          <cell r="OF16">
            <v>49120</v>
          </cell>
          <cell r="OH16">
            <v>85690</v>
          </cell>
          <cell r="OJ16">
            <v>414283.32</v>
          </cell>
          <cell r="OP16">
            <v>941710</v>
          </cell>
          <cell r="OR16">
            <v>49009.86</v>
          </cell>
          <cell r="OT16">
            <v>85800.14</v>
          </cell>
          <cell r="OV16">
            <v>414283.32</v>
          </cell>
          <cell r="OY16">
            <v>519342.66000000003</v>
          </cell>
          <cell r="PA16">
            <v>200582.08999999997</v>
          </cell>
          <cell r="PC16">
            <v>97115.89</v>
          </cell>
          <cell r="PG16">
            <v>567893.5</v>
          </cell>
          <cell r="PK16">
            <v>0</v>
          </cell>
          <cell r="PM16">
            <v>200582.08999999997</v>
          </cell>
          <cell r="PS16">
            <v>567893.5</v>
          </cell>
          <cell r="PW16">
            <v>0</v>
          </cell>
        </row>
        <row r="17">
          <cell r="R17">
            <v>0</v>
          </cell>
          <cell r="T17">
            <v>0</v>
          </cell>
          <cell r="AH17">
            <v>217781.07</v>
          </cell>
          <cell r="AJ17">
            <v>0</v>
          </cell>
          <cell r="AX17">
            <v>0</v>
          </cell>
          <cell r="BB17">
            <v>0</v>
          </cell>
          <cell r="BD17">
            <v>12000000</v>
          </cell>
          <cell r="BF17">
            <v>26428156.760000005</v>
          </cell>
          <cell r="BH17">
            <v>75218600</v>
          </cell>
          <cell r="BR17">
            <v>0</v>
          </cell>
          <cell r="BT17">
            <v>0</v>
          </cell>
          <cell r="BV17">
            <v>66983.22</v>
          </cell>
          <cell r="CB17">
            <v>0</v>
          </cell>
          <cell r="CD17">
            <v>0</v>
          </cell>
          <cell r="CR17">
            <v>0</v>
          </cell>
          <cell r="DX17">
            <v>8695.65</v>
          </cell>
          <cell r="DZ17">
            <v>0</v>
          </cell>
          <cell r="FB17">
            <v>33625.240000000005</v>
          </cell>
          <cell r="FD17">
            <v>11771.349999999991</v>
          </cell>
          <cell r="FF17">
            <v>11771.349999999991</v>
          </cell>
          <cell r="FH17">
            <v>95702.61</v>
          </cell>
          <cell r="FJ17">
            <v>33625.240000000005</v>
          </cell>
          <cell r="FL17">
            <v>11771.349999999991</v>
          </cell>
          <cell r="FN17">
            <v>11771.349999999991</v>
          </cell>
          <cell r="FP17">
            <v>95702.61</v>
          </cell>
          <cell r="FR17">
            <v>33503.06</v>
          </cell>
          <cell r="FT17">
            <v>33503.06</v>
          </cell>
          <cell r="FV17">
            <v>0</v>
          </cell>
          <cell r="FX17">
            <v>821052.83999999985</v>
          </cell>
          <cell r="FZ17">
            <v>821052.83999999985</v>
          </cell>
          <cell r="GD17">
            <v>15600000</v>
          </cell>
          <cell r="GF17">
            <v>821052.83999999985</v>
          </cell>
          <cell r="GH17">
            <v>821052.83999999985</v>
          </cell>
          <cell r="GJ17">
            <v>0</v>
          </cell>
          <cell r="GL17">
            <v>15600000</v>
          </cell>
          <cell r="GN17">
            <v>15600000</v>
          </cell>
          <cell r="GP17">
            <v>0</v>
          </cell>
          <cell r="GR17">
            <v>0</v>
          </cell>
          <cell r="HJ17">
            <v>82494836.710000008</v>
          </cell>
          <cell r="HL17">
            <v>35842050.659999996</v>
          </cell>
          <cell r="HN17">
            <v>68882000</v>
          </cell>
          <cell r="HR17">
            <v>44001925.75</v>
          </cell>
          <cell r="HT17">
            <v>101494836.71000001</v>
          </cell>
          <cell r="HV17">
            <v>35842050.659999996</v>
          </cell>
          <cell r="HX17">
            <v>0</v>
          </cell>
          <cell r="IB17">
            <v>45802055.340000004</v>
          </cell>
          <cell r="ID17">
            <v>0</v>
          </cell>
          <cell r="IF17">
            <v>0</v>
          </cell>
          <cell r="IH17">
            <v>0</v>
          </cell>
          <cell r="IR17">
            <v>0</v>
          </cell>
          <cell r="IT17">
            <v>0</v>
          </cell>
          <cell r="JB17">
            <v>0</v>
          </cell>
          <cell r="JD17">
            <v>0</v>
          </cell>
          <cell r="JN17">
            <v>3262426.3200000003</v>
          </cell>
          <cell r="JZ17">
            <v>3262426.3200000003</v>
          </cell>
          <cell r="KF17">
            <v>61986100</v>
          </cell>
          <cell r="KN17">
            <v>0</v>
          </cell>
          <cell r="KP17">
            <v>88076907.099999994</v>
          </cell>
          <cell r="KR17">
            <v>0</v>
          </cell>
          <cell r="KV17">
            <v>4638166.1499999976</v>
          </cell>
          <cell r="KZ17">
            <v>0</v>
          </cell>
          <cell r="LB17">
            <v>88076907.099999994</v>
          </cell>
          <cell r="LF17">
            <v>28834494.010000002</v>
          </cell>
          <cell r="LH17">
            <v>4638166.1499999976</v>
          </cell>
          <cell r="LV17">
            <v>0</v>
          </cell>
          <cell r="MR17">
            <v>0</v>
          </cell>
          <cell r="MT17">
            <v>0</v>
          </cell>
          <cell r="MV17">
            <v>0</v>
          </cell>
          <cell r="ND17">
            <v>0</v>
          </cell>
          <cell r="NF17">
            <v>0</v>
          </cell>
          <cell r="NH17">
            <v>0</v>
          </cell>
          <cell r="NJ17">
            <v>0</v>
          </cell>
          <cell r="NL17">
            <v>3751000</v>
          </cell>
          <cell r="NN17">
            <v>2955706.69</v>
          </cell>
          <cell r="NP17">
            <v>1170593.07</v>
          </cell>
          <cell r="NR17">
            <v>603217.06999999995</v>
          </cell>
          <cell r="NT17">
            <v>0</v>
          </cell>
          <cell r="NV17">
            <v>0</v>
          </cell>
          <cell r="NX17">
            <v>3751000</v>
          </cell>
          <cell r="NZ17">
            <v>3328527.31</v>
          </cell>
          <cell r="OB17">
            <v>1170593.07</v>
          </cell>
          <cell r="OD17">
            <v>1430080</v>
          </cell>
          <cell r="OF17">
            <v>57390</v>
          </cell>
          <cell r="OH17">
            <v>99060</v>
          </cell>
          <cell r="OJ17">
            <v>46224.67</v>
          </cell>
          <cell r="OP17">
            <v>1430080</v>
          </cell>
          <cell r="OR17">
            <v>56877.03</v>
          </cell>
          <cell r="OT17">
            <v>99572.97</v>
          </cell>
          <cell r="OV17">
            <v>46224.67</v>
          </cell>
          <cell r="OY17">
            <v>301948.76</v>
          </cell>
          <cell r="PA17">
            <v>65340.14</v>
          </cell>
          <cell r="PC17">
            <v>0</v>
          </cell>
          <cell r="PK17">
            <v>0</v>
          </cell>
          <cell r="PM17">
            <v>0</v>
          </cell>
          <cell r="PW17">
            <v>116833.16</v>
          </cell>
        </row>
        <row r="18">
          <cell r="R18">
            <v>0</v>
          </cell>
          <cell r="T18">
            <v>0</v>
          </cell>
          <cell r="AH18">
            <v>215512.51</v>
          </cell>
          <cell r="AJ18">
            <v>0</v>
          </cell>
          <cell r="AX18">
            <v>0</v>
          </cell>
          <cell r="BB18">
            <v>0</v>
          </cell>
          <cell r="BF18">
            <v>0</v>
          </cell>
          <cell r="BR18">
            <v>0</v>
          </cell>
          <cell r="BT18">
            <v>0</v>
          </cell>
          <cell r="BV18">
            <v>207171.7</v>
          </cell>
          <cell r="CB18">
            <v>0</v>
          </cell>
          <cell r="CD18">
            <v>0</v>
          </cell>
          <cell r="CR18">
            <v>0</v>
          </cell>
          <cell r="DX18">
            <v>6956.52</v>
          </cell>
          <cell r="DZ18">
            <v>0</v>
          </cell>
          <cell r="FB18">
            <v>31855.61</v>
          </cell>
          <cell r="FD18">
            <v>0</v>
          </cell>
          <cell r="FF18">
            <v>0</v>
          </cell>
          <cell r="FH18">
            <v>90665.96</v>
          </cell>
          <cell r="FJ18">
            <v>31855.61</v>
          </cell>
          <cell r="FL18">
            <v>0</v>
          </cell>
          <cell r="FN18">
            <v>0</v>
          </cell>
          <cell r="FP18">
            <v>90665.96</v>
          </cell>
          <cell r="FV18">
            <v>0</v>
          </cell>
          <cell r="FX18">
            <v>0</v>
          </cell>
          <cell r="FZ18">
            <v>0</v>
          </cell>
          <cell r="GF18">
            <v>0</v>
          </cell>
          <cell r="GH18">
            <v>0</v>
          </cell>
          <cell r="GJ18">
            <v>0</v>
          </cell>
          <cell r="GP18">
            <v>0</v>
          </cell>
          <cell r="GR18">
            <v>0</v>
          </cell>
          <cell r="HJ18">
            <v>0</v>
          </cell>
          <cell r="HL18">
            <v>16551305.479999999</v>
          </cell>
          <cell r="HN18">
            <v>7049000</v>
          </cell>
          <cell r="HR18">
            <v>4075707.43</v>
          </cell>
          <cell r="HT18">
            <v>0</v>
          </cell>
          <cell r="HV18">
            <v>16551305.479999999</v>
          </cell>
          <cell r="IB18">
            <v>27534228.140000001</v>
          </cell>
          <cell r="ID18">
            <v>0</v>
          </cell>
          <cell r="IF18">
            <v>0</v>
          </cell>
          <cell r="IR18">
            <v>0</v>
          </cell>
          <cell r="IT18">
            <v>0</v>
          </cell>
          <cell r="JB18">
            <v>0</v>
          </cell>
          <cell r="JD18">
            <v>0</v>
          </cell>
          <cell r="JN18">
            <v>10640836.840000004</v>
          </cell>
          <cell r="JZ18">
            <v>10640836.840000004</v>
          </cell>
          <cell r="KF18">
            <v>202175900</v>
          </cell>
          <cell r="KN18">
            <v>0</v>
          </cell>
          <cell r="KP18">
            <v>0</v>
          </cell>
          <cell r="KR18">
            <v>0</v>
          </cell>
          <cell r="KV18">
            <v>0</v>
          </cell>
          <cell r="KZ18">
            <v>0</v>
          </cell>
          <cell r="LB18">
            <v>0</v>
          </cell>
          <cell r="LF18">
            <v>19700007.09</v>
          </cell>
          <cell r="LH18">
            <v>0</v>
          </cell>
          <cell r="LV18">
            <v>0</v>
          </cell>
          <cell r="MR18">
            <v>0</v>
          </cell>
          <cell r="MT18">
            <v>0</v>
          </cell>
          <cell r="ND18">
            <v>0</v>
          </cell>
          <cell r="NF18">
            <v>0</v>
          </cell>
          <cell r="NH18">
            <v>0</v>
          </cell>
          <cell r="NJ18">
            <v>0</v>
          </cell>
          <cell r="NL18">
            <v>0</v>
          </cell>
          <cell r="NN18">
            <v>433278.37</v>
          </cell>
          <cell r="NP18">
            <v>472418.73</v>
          </cell>
          <cell r="NR18">
            <v>0</v>
          </cell>
          <cell r="NT18">
            <v>0</v>
          </cell>
          <cell r="NV18">
            <v>0</v>
          </cell>
          <cell r="NX18">
            <v>0</v>
          </cell>
          <cell r="NZ18">
            <v>433278.37</v>
          </cell>
          <cell r="OB18">
            <v>472418.73</v>
          </cell>
          <cell r="OD18">
            <v>233000</v>
          </cell>
          <cell r="OF18">
            <v>31210</v>
          </cell>
          <cell r="OH18">
            <v>55030</v>
          </cell>
          <cell r="OJ18">
            <v>327695.53000000003</v>
          </cell>
          <cell r="OP18">
            <v>233000</v>
          </cell>
          <cell r="OR18">
            <v>31352.35</v>
          </cell>
          <cell r="OT18">
            <v>54887.65</v>
          </cell>
          <cell r="OV18">
            <v>327695.53000000003</v>
          </cell>
          <cell r="OY18">
            <v>0</v>
          </cell>
          <cell r="PA18">
            <v>0</v>
          </cell>
          <cell r="PC18">
            <v>0</v>
          </cell>
          <cell r="PE18">
            <v>1497946.03</v>
          </cell>
          <cell r="PK18">
            <v>529080.10999999987</v>
          </cell>
          <cell r="PM18">
            <v>0</v>
          </cell>
          <cell r="PQ18">
            <v>1497946.03</v>
          </cell>
          <cell r="PW18">
            <v>0</v>
          </cell>
        </row>
        <row r="19">
          <cell r="R19">
            <v>0</v>
          </cell>
          <cell r="T19">
            <v>0</v>
          </cell>
          <cell r="AH19">
            <v>217781.43</v>
          </cell>
          <cell r="AJ19">
            <v>0</v>
          </cell>
          <cell r="AX19">
            <v>0</v>
          </cell>
          <cell r="BB19">
            <v>0</v>
          </cell>
          <cell r="BF19">
            <v>0</v>
          </cell>
          <cell r="BR19">
            <v>0</v>
          </cell>
          <cell r="BT19">
            <v>0</v>
          </cell>
          <cell r="BV19">
            <v>119037.89</v>
          </cell>
          <cell r="CB19">
            <v>0</v>
          </cell>
          <cell r="CD19">
            <v>0</v>
          </cell>
          <cell r="CR19">
            <v>0</v>
          </cell>
          <cell r="DX19">
            <v>4347.83</v>
          </cell>
          <cell r="DZ19">
            <v>0</v>
          </cell>
          <cell r="FB19">
            <v>22494.020000000004</v>
          </cell>
          <cell r="FD19">
            <v>0</v>
          </cell>
          <cell r="FF19">
            <v>0</v>
          </cell>
          <cell r="FH19">
            <v>64021.45</v>
          </cell>
          <cell r="FJ19">
            <v>22494.020000000004</v>
          </cell>
          <cell r="FL19">
            <v>0</v>
          </cell>
          <cell r="FN19">
            <v>0</v>
          </cell>
          <cell r="FP19">
            <v>64021.45</v>
          </cell>
          <cell r="FV19">
            <v>0</v>
          </cell>
          <cell r="FX19">
            <v>0</v>
          </cell>
          <cell r="FZ19">
            <v>0</v>
          </cell>
          <cell r="GF19">
            <v>0</v>
          </cell>
          <cell r="GH19">
            <v>0</v>
          </cell>
          <cell r="GJ19">
            <v>7388479.1600000001</v>
          </cell>
          <cell r="GP19">
            <v>0</v>
          </cell>
          <cell r="GR19">
            <v>7388479.1600000001</v>
          </cell>
          <cell r="HJ19">
            <v>0</v>
          </cell>
          <cell r="HL19">
            <v>19108300</v>
          </cell>
          <cell r="HN19">
            <v>0</v>
          </cell>
          <cell r="HR19">
            <v>0</v>
          </cell>
          <cell r="HT19">
            <v>0</v>
          </cell>
          <cell r="HV19">
            <v>19108300</v>
          </cell>
          <cell r="IB19">
            <v>25350000</v>
          </cell>
          <cell r="ID19">
            <v>0</v>
          </cell>
          <cell r="IF19">
            <v>714590.71000000089</v>
          </cell>
          <cell r="IL19">
            <v>13577223.01</v>
          </cell>
          <cell r="IR19">
            <v>0</v>
          </cell>
          <cell r="IT19">
            <v>0</v>
          </cell>
          <cell r="JB19">
            <v>0</v>
          </cell>
          <cell r="JD19">
            <v>0</v>
          </cell>
          <cell r="JN19">
            <v>0</v>
          </cell>
          <cell r="JZ19">
            <v>0</v>
          </cell>
          <cell r="KF19">
            <v>0</v>
          </cell>
          <cell r="KN19">
            <v>0</v>
          </cell>
          <cell r="KP19">
            <v>0</v>
          </cell>
          <cell r="KR19">
            <v>0</v>
          </cell>
          <cell r="KV19">
            <v>0</v>
          </cell>
          <cell r="KZ19">
            <v>0</v>
          </cell>
          <cell r="LB19">
            <v>0</v>
          </cell>
          <cell r="LF19">
            <v>18013338.98</v>
          </cell>
          <cell r="LH19">
            <v>0</v>
          </cell>
          <cell r="LV19">
            <v>0</v>
          </cell>
          <cell r="MR19">
            <v>0</v>
          </cell>
          <cell r="MT19">
            <v>0</v>
          </cell>
          <cell r="ND19">
            <v>0</v>
          </cell>
          <cell r="NF19">
            <v>1048798.08</v>
          </cell>
          <cell r="NH19">
            <v>0</v>
          </cell>
          <cell r="NJ19">
            <v>0</v>
          </cell>
          <cell r="NL19">
            <v>0</v>
          </cell>
          <cell r="NN19">
            <v>367913.7</v>
          </cell>
          <cell r="NP19">
            <v>169151.66</v>
          </cell>
          <cell r="NR19">
            <v>0</v>
          </cell>
          <cell r="NT19">
            <v>0</v>
          </cell>
          <cell r="NV19">
            <v>0</v>
          </cell>
          <cell r="NX19">
            <v>0</v>
          </cell>
          <cell r="NZ19">
            <v>367913.7</v>
          </cell>
          <cell r="OB19">
            <v>169151.66</v>
          </cell>
          <cell r="OD19">
            <v>264430</v>
          </cell>
          <cell r="OF19">
            <v>37340</v>
          </cell>
          <cell r="OH19">
            <v>64470</v>
          </cell>
          <cell r="OJ19">
            <v>329453.15999999997</v>
          </cell>
          <cell r="OP19">
            <v>264430</v>
          </cell>
          <cell r="OR19">
            <v>37012.79</v>
          </cell>
          <cell r="OT19">
            <v>64797.21</v>
          </cell>
          <cell r="OV19">
            <v>329453.15999999997</v>
          </cell>
          <cell r="OY19">
            <v>214726.30999999997</v>
          </cell>
          <cell r="PA19">
            <v>0</v>
          </cell>
          <cell r="PC19">
            <v>72449.78</v>
          </cell>
          <cell r="PK19">
            <v>0</v>
          </cell>
          <cell r="PM19">
            <v>0</v>
          </cell>
          <cell r="PW19">
            <v>92621.11</v>
          </cell>
        </row>
        <row r="20">
          <cell r="R20">
            <v>0</v>
          </cell>
          <cell r="T20">
            <v>0</v>
          </cell>
          <cell r="AH20">
            <v>474127.53</v>
          </cell>
          <cell r="AJ20">
            <v>0</v>
          </cell>
          <cell r="AX20">
            <v>0</v>
          </cell>
          <cell r="BB20">
            <v>54677198.120000005</v>
          </cell>
          <cell r="BF20">
            <v>0</v>
          </cell>
          <cell r="BR20">
            <v>0</v>
          </cell>
          <cell r="BT20">
            <v>0</v>
          </cell>
          <cell r="BV20">
            <v>115975.32</v>
          </cell>
          <cell r="CB20">
            <v>0</v>
          </cell>
          <cell r="CD20">
            <v>0</v>
          </cell>
          <cell r="CR20">
            <v>0</v>
          </cell>
          <cell r="DX20">
            <v>86956.52</v>
          </cell>
          <cell r="DZ20">
            <v>6956.5199999999977</v>
          </cell>
          <cell r="EB20">
            <v>6956.5199999999977</v>
          </cell>
          <cell r="FB20">
            <v>82787.439999999973</v>
          </cell>
          <cell r="FD20">
            <v>0</v>
          </cell>
          <cell r="FF20">
            <v>0</v>
          </cell>
          <cell r="FH20">
            <v>235625.78</v>
          </cell>
          <cell r="FJ20">
            <v>82787.439999999973</v>
          </cell>
          <cell r="FL20">
            <v>0</v>
          </cell>
          <cell r="FN20">
            <v>0</v>
          </cell>
          <cell r="FP20">
            <v>235625.78</v>
          </cell>
          <cell r="FV20">
            <v>0</v>
          </cell>
          <cell r="FX20">
            <v>821052.83999999985</v>
          </cell>
          <cell r="FZ20">
            <v>821052.83999999985</v>
          </cell>
          <cell r="GD20">
            <v>15600000</v>
          </cell>
          <cell r="GF20">
            <v>821052.83999999985</v>
          </cell>
          <cell r="GH20">
            <v>821052.83999999985</v>
          </cell>
          <cell r="GJ20">
            <v>15353240.300000001</v>
          </cell>
          <cell r="GL20">
            <v>15600000</v>
          </cell>
          <cell r="GN20">
            <v>15600000</v>
          </cell>
          <cell r="GP20">
            <v>0</v>
          </cell>
          <cell r="GR20">
            <v>24382140.920000002</v>
          </cell>
          <cell r="GT20">
            <v>9028900.6199999992</v>
          </cell>
          <cell r="HJ20">
            <v>0</v>
          </cell>
          <cell r="HL20">
            <v>188669450.18000001</v>
          </cell>
          <cell r="HN20">
            <v>20482000</v>
          </cell>
          <cell r="HP20">
            <v>59302390</v>
          </cell>
          <cell r="HR20">
            <v>12200212.33</v>
          </cell>
          <cell r="HT20">
            <v>0</v>
          </cell>
          <cell r="HV20">
            <v>188669450.18000001</v>
          </cell>
          <cell r="HX20">
            <v>0</v>
          </cell>
          <cell r="HZ20">
            <v>59302390</v>
          </cell>
          <cell r="IB20">
            <v>52668894.549999997</v>
          </cell>
          <cell r="ID20">
            <v>0</v>
          </cell>
          <cell r="IF20">
            <v>1131436.1400000006</v>
          </cell>
          <cell r="IH20">
            <v>0</v>
          </cell>
          <cell r="IL20">
            <v>21497286.609999999</v>
          </cell>
          <cell r="IR20">
            <v>0</v>
          </cell>
          <cell r="IT20">
            <v>0</v>
          </cell>
          <cell r="JB20">
            <v>0</v>
          </cell>
          <cell r="JD20">
            <v>0</v>
          </cell>
          <cell r="JN20">
            <v>20859584.209999979</v>
          </cell>
          <cell r="JR20">
            <v>10402506</v>
          </cell>
          <cell r="JV20">
            <v>77044000</v>
          </cell>
          <cell r="JZ20">
            <v>20859584.209999979</v>
          </cell>
          <cell r="KF20">
            <v>396332100</v>
          </cell>
          <cell r="KN20">
            <v>0</v>
          </cell>
          <cell r="KP20">
            <v>59325881.299999997</v>
          </cell>
          <cell r="KR20">
            <v>0</v>
          </cell>
          <cell r="KV20">
            <v>8910961.3400000017</v>
          </cell>
          <cell r="KZ20">
            <v>0</v>
          </cell>
          <cell r="LB20">
            <v>59325881.299999997</v>
          </cell>
          <cell r="LF20">
            <v>18378285.260000002</v>
          </cell>
          <cell r="LH20">
            <v>8910961.3400000017</v>
          </cell>
          <cell r="LV20">
            <v>0</v>
          </cell>
          <cell r="MT20">
            <v>18024576.300000001</v>
          </cell>
          <cell r="MV20">
            <v>18024576.300000001</v>
          </cell>
          <cell r="NF20">
            <v>18024576.300000001</v>
          </cell>
          <cell r="NH20">
            <v>18024576.300000001</v>
          </cell>
          <cell r="NJ20">
            <v>1067447.29</v>
          </cell>
          <cell r="NL20">
            <v>4228000</v>
          </cell>
          <cell r="NN20">
            <v>206798.53</v>
          </cell>
          <cell r="NP20">
            <v>804491.07</v>
          </cell>
          <cell r="NR20">
            <v>0</v>
          </cell>
          <cell r="NT20">
            <v>1067447.29</v>
          </cell>
          <cell r="NV20">
            <v>1067447.29</v>
          </cell>
          <cell r="NX20">
            <v>4228000</v>
          </cell>
          <cell r="NZ20">
            <v>206798.53</v>
          </cell>
          <cell r="OB20">
            <v>804491.07</v>
          </cell>
          <cell r="OD20">
            <v>387900</v>
          </cell>
          <cell r="OF20">
            <v>31410</v>
          </cell>
          <cell r="OH20">
            <v>56600</v>
          </cell>
          <cell r="OJ20">
            <v>317539.19</v>
          </cell>
          <cell r="OP20">
            <v>387900</v>
          </cell>
          <cell r="OR20">
            <v>31995.83</v>
          </cell>
          <cell r="OT20">
            <v>56014.17</v>
          </cell>
          <cell r="OV20">
            <v>317539.19</v>
          </cell>
          <cell r="OY20">
            <v>426640.79</v>
          </cell>
          <cell r="PA20">
            <v>10516.98</v>
          </cell>
          <cell r="PC20">
            <v>107604.73</v>
          </cell>
          <cell r="PK20">
            <v>0</v>
          </cell>
          <cell r="PM20">
            <v>0</v>
          </cell>
          <cell r="PW20">
            <v>97141.19</v>
          </cell>
        </row>
        <row r="21">
          <cell r="R21">
            <v>0</v>
          </cell>
          <cell r="T21">
            <v>0</v>
          </cell>
          <cell r="AH21">
            <v>217781.07</v>
          </cell>
          <cell r="AJ21">
            <v>0</v>
          </cell>
          <cell r="AX21">
            <v>0</v>
          </cell>
          <cell r="BB21">
            <v>0</v>
          </cell>
          <cell r="BF21">
            <v>0</v>
          </cell>
          <cell r="BR21">
            <v>2304447.2599999998</v>
          </cell>
          <cell r="BT21">
            <v>0</v>
          </cell>
          <cell r="BV21">
            <v>107591.93</v>
          </cell>
          <cell r="CB21">
            <v>0</v>
          </cell>
          <cell r="CD21">
            <v>0</v>
          </cell>
          <cell r="CR21">
            <v>0</v>
          </cell>
          <cell r="DX21">
            <v>9565.2199999999993</v>
          </cell>
          <cell r="DZ21">
            <v>0</v>
          </cell>
          <cell r="FB21">
            <v>37265.009999999995</v>
          </cell>
          <cell r="FD21">
            <v>0</v>
          </cell>
          <cell r="FF21">
            <v>0</v>
          </cell>
          <cell r="FH21">
            <v>106061.95</v>
          </cell>
          <cell r="FJ21">
            <v>37265.009999999995</v>
          </cell>
          <cell r="FL21">
            <v>0</v>
          </cell>
          <cell r="FN21">
            <v>0</v>
          </cell>
          <cell r="FP21">
            <v>106061.95</v>
          </cell>
          <cell r="FV21">
            <v>0</v>
          </cell>
          <cell r="FX21">
            <v>0</v>
          </cell>
          <cell r="FZ21">
            <v>0</v>
          </cell>
          <cell r="GF21">
            <v>0</v>
          </cell>
          <cell r="GH21">
            <v>0</v>
          </cell>
          <cell r="GJ21">
            <v>9785831.3900000006</v>
          </cell>
          <cell r="GP21">
            <v>0</v>
          </cell>
          <cell r="GR21">
            <v>9785831.3900000006</v>
          </cell>
          <cell r="HJ21">
            <v>0</v>
          </cell>
          <cell r="HL21">
            <v>31015344.07</v>
          </cell>
          <cell r="HN21">
            <v>454000</v>
          </cell>
          <cell r="HR21">
            <v>247660.65</v>
          </cell>
          <cell r="HT21">
            <v>0</v>
          </cell>
          <cell r="HV21">
            <v>31015344.07</v>
          </cell>
          <cell r="IB21">
            <v>17752760.129999999</v>
          </cell>
          <cell r="ID21">
            <v>0</v>
          </cell>
          <cell r="IF21">
            <v>0</v>
          </cell>
          <cell r="IR21">
            <v>0</v>
          </cell>
          <cell r="IT21">
            <v>0</v>
          </cell>
          <cell r="JB21">
            <v>0</v>
          </cell>
          <cell r="JD21">
            <v>0</v>
          </cell>
          <cell r="JN21">
            <v>0</v>
          </cell>
          <cell r="JZ21">
            <v>0</v>
          </cell>
          <cell r="KF21">
            <v>0</v>
          </cell>
          <cell r="KN21">
            <v>0</v>
          </cell>
          <cell r="KP21">
            <v>0</v>
          </cell>
          <cell r="KR21">
            <v>0</v>
          </cell>
          <cell r="KV21">
            <v>0</v>
          </cell>
          <cell r="KZ21">
            <v>0</v>
          </cell>
          <cell r="LB21">
            <v>0</v>
          </cell>
          <cell r="LF21">
            <v>13718449.16</v>
          </cell>
          <cell r="LH21">
            <v>0</v>
          </cell>
          <cell r="LV21">
            <v>0</v>
          </cell>
          <cell r="MR21">
            <v>14630000</v>
          </cell>
          <cell r="MT21">
            <v>0</v>
          </cell>
          <cell r="ND21">
            <v>14630000</v>
          </cell>
          <cell r="NF21">
            <v>0</v>
          </cell>
          <cell r="NH21">
            <v>0</v>
          </cell>
          <cell r="NJ21">
            <v>0</v>
          </cell>
          <cell r="NL21">
            <v>1492000</v>
          </cell>
          <cell r="NN21">
            <v>460691.94</v>
          </cell>
          <cell r="NP21">
            <v>360727.91</v>
          </cell>
          <cell r="NR21">
            <v>0</v>
          </cell>
          <cell r="NT21">
            <v>0</v>
          </cell>
          <cell r="NV21">
            <v>0</v>
          </cell>
          <cell r="NX21">
            <v>1492000</v>
          </cell>
          <cell r="NZ21">
            <v>460691.94</v>
          </cell>
          <cell r="OB21">
            <v>360727.91</v>
          </cell>
          <cell r="OD21">
            <v>207070</v>
          </cell>
          <cell r="OF21">
            <v>44630</v>
          </cell>
          <cell r="OH21">
            <v>77050</v>
          </cell>
          <cell r="OJ21">
            <v>354339.63</v>
          </cell>
          <cell r="OP21">
            <v>207070</v>
          </cell>
          <cell r="OR21">
            <v>44236.480000000003</v>
          </cell>
          <cell r="OT21">
            <v>77443.520000000004</v>
          </cell>
          <cell r="OV21">
            <v>354339.63</v>
          </cell>
          <cell r="OY21">
            <v>411235.6700000001</v>
          </cell>
          <cell r="PA21">
            <v>0</v>
          </cell>
          <cell r="PC21">
            <v>81910.460000000006</v>
          </cell>
          <cell r="PK21">
            <v>0</v>
          </cell>
          <cell r="PM21">
            <v>0</v>
          </cell>
          <cell r="PW21">
            <v>75530.25</v>
          </cell>
        </row>
        <row r="22">
          <cell r="R22">
            <v>3200000</v>
          </cell>
          <cell r="T22">
            <v>0</v>
          </cell>
          <cell r="AH22">
            <v>227353.86</v>
          </cell>
          <cell r="AJ22">
            <v>0</v>
          </cell>
          <cell r="AX22">
            <v>0</v>
          </cell>
          <cell r="BB22">
            <v>0</v>
          </cell>
          <cell r="BF22">
            <v>0</v>
          </cell>
          <cell r="BR22">
            <v>4137497.67</v>
          </cell>
          <cell r="BT22">
            <v>10000000</v>
          </cell>
          <cell r="BV22">
            <v>289450.01</v>
          </cell>
          <cell r="CB22">
            <v>0</v>
          </cell>
          <cell r="CD22">
            <v>5415308.1099999994</v>
          </cell>
          <cell r="CJ22">
            <v>15412800</v>
          </cell>
          <cell r="CR22">
            <v>0</v>
          </cell>
          <cell r="DX22">
            <v>26086.959999999999</v>
          </cell>
          <cell r="DZ22">
            <v>0</v>
          </cell>
          <cell r="FB22">
            <v>36647.170000000013</v>
          </cell>
          <cell r="FD22">
            <v>0</v>
          </cell>
          <cell r="FF22">
            <v>0</v>
          </cell>
          <cell r="FH22">
            <v>104303.47</v>
          </cell>
          <cell r="FJ22">
            <v>36647.170000000013</v>
          </cell>
          <cell r="FL22">
            <v>0</v>
          </cell>
          <cell r="FN22">
            <v>0</v>
          </cell>
          <cell r="FP22">
            <v>104303.47</v>
          </cell>
          <cell r="FV22">
            <v>0</v>
          </cell>
          <cell r="FX22">
            <v>0</v>
          </cell>
          <cell r="FZ22">
            <v>0</v>
          </cell>
          <cell r="GF22">
            <v>0</v>
          </cell>
          <cell r="GH22">
            <v>0</v>
          </cell>
          <cell r="GJ22">
            <v>14087061.09</v>
          </cell>
          <cell r="GP22">
            <v>0</v>
          </cell>
          <cell r="GR22">
            <v>14087061.09</v>
          </cell>
          <cell r="HJ22">
            <v>0</v>
          </cell>
          <cell r="HL22">
            <v>198119482.24000001</v>
          </cell>
          <cell r="HN22">
            <v>0</v>
          </cell>
          <cell r="HR22">
            <v>0</v>
          </cell>
          <cell r="HT22">
            <v>0</v>
          </cell>
          <cell r="HV22">
            <v>198119482.24000001</v>
          </cell>
          <cell r="IB22">
            <v>86782962.159999996</v>
          </cell>
          <cell r="ID22">
            <v>0</v>
          </cell>
          <cell r="IF22">
            <v>0</v>
          </cell>
          <cell r="IR22">
            <v>0</v>
          </cell>
          <cell r="IT22">
            <v>99995</v>
          </cell>
          <cell r="IZ22">
            <v>1899905</v>
          </cell>
          <cell r="JB22">
            <v>0</v>
          </cell>
          <cell r="JD22">
            <v>80710.25</v>
          </cell>
          <cell r="JJ22">
            <v>1533494.75</v>
          </cell>
          <cell r="JN22">
            <v>0</v>
          </cell>
          <cell r="JZ22">
            <v>0</v>
          </cell>
          <cell r="KF22">
            <v>0</v>
          </cell>
          <cell r="KN22">
            <v>0</v>
          </cell>
          <cell r="KP22">
            <v>0</v>
          </cell>
          <cell r="KR22">
            <v>0</v>
          </cell>
          <cell r="KV22">
            <v>0</v>
          </cell>
          <cell r="KZ22">
            <v>0</v>
          </cell>
          <cell r="LB22">
            <v>0</v>
          </cell>
          <cell r="LF22">
            <v>87233595.540000007</v>
          </cell>
          <cell r="LH22">
            <v>0</v>
          </cell>
          <cell r="LV22">
            <v>14500000</v>
          </cell>
          <cell r="MB22">
            <v>275500000</v>
          </cell>
          <cell r="MR22">
            <v>0</v>
          </cell>
          <cell r="MT22">
            <v>1433434.45</v>
          </cell>
          <cell r="ND22">
            <v>0</v>
          </cell>
          <cell r="NF22">
            <v>1433434.45</v>
          </cell>
          <cell r="NH22">
            <v>0</v>
          </cell>
          <cell r="NJ22">
            <v>0</v>
          </cell>
          <cell r="NL22">
            <v>0</v>
          </cell>
          <cell r="NN22">
            <v>1106300.49</v>
          </cell>
          <cell r="NP22">
            <v>0</v>
          </cell>
          <cell r="NR22">
            <v>0</v>
          </cell>
          <cell r="NT22">
            <v>0</v>
          </cell>
          <cell r="NV22">
            <v>0</v>
          </cell>
          <cell r="NX22">
            <v>0</v>
          </cell>
          <cell r="NZ22">
            <v>1106300.49</v>
          </cell>
          <cell r="OB22">
            <v>0</v>
          </cell>
          <cell r="OD22">
            <v>1716530</v>
          </cell>
          <cell r="OF22">
            <v>851160</v>
          </cell>
          <cell r="OH22">
            <v>1533870</v>
          </cell>
          <cell r="OJ22">
            <v>253019.27</v>
          </cell>
          <cell r="OP22">
            <v>1716530</v>
          </cell>
          <cell r="OR22">
            <v>867072.14</v>
          </cell>
          <cell r="OT22">
            <v>1517957.86</v>
          </cell>
          <cell r="OV22">
            <v>253019.27</v>
          </cell>
          <cell r="OY22">
            <v>535115.05000000005</v>
          </cell>
          <cell r="PA22">
            <v>0</v>
          </cell>
          <cell r="PC22">
            <v>0</v>
          </cell>
          <cell r="PK22">
            <v>0</v>
          </cell>
          <cell r="PM22">
            <v>0</v>
          </cell>
          <cell r="PW22">
            <v>0</v>
          </cell>
        </row>
        <row r="23">
          <cell r="R23">
            <v>0</v>
          </cell>
          <cell r="T23">
            <v>0</v>
          </cell>
          <cell r="AH23">
            <v>222464.53</v>
          </cell>
          <cell r="AJ23">
            <v>0</v>
          </cell>
          <cell r="AX23">
            <v>0</v>
          </cell>
          <cell r="BB23">
            <v>0</v>
          </cell>
          <cell r="BF23">
            <v>0</v>
          </cell>
          <cell r="BR23">
            <v>3257971.49</v>
          </cell>
          <cell r="BT23">
            <v>0</v>
          </cell>
          <cell r="BV23">
            <v>137821.29</v>
          </cell>
          <cell r="CB23">
            <v>0</v>
          </cell>
          <cell r="CD23">
            <v>0</v>
          </cell>
          <cell r="CR23">
            <v>0</v>
          </cell>
          <cell r="DX23">
            <v>10434.780000000001</v>
          </cell>
          <cell r="DZ23">
            <v>0</v>
          </cell>
          <cell r="FB23">
            <v>49313.820000000007</v>
          </cell>
          <cell r="FD23">
            <v>0</v>
          </cell>
          <cell r="FF23">
            <v>0</v>
          </cell>
          <cell r="FH23">
            <v>140354.71</v>
          </cell>
          <cell r="FJ23">
            <v>49313.820000000007</v>
          </cell>
          <cell r="FL23">
            <v>0</v>
          </cell>
          <cell r="FN23">
            <v>0</v>
          </cell>
          <cell r="FP23">
            <v>140354.71</v>
          </cell>
          <cell r="FV23">
            <v>0</v>
          </cell>
          <cell r="FX23">
            <v>0</v>
          </cell>
          <cell r="FZ23">
            <v>0</v>
          </cell>
          <cell r="GF23">
            <v>0</v>
          </cell>
          <cell r="GH23">
            <v>0</v>
          </cell>
          <cell r="GJ23">
            <v>0</v>
          </cell>
          <cell r="GP23">
            <v>0</v>
          </cell>
          <cell r="GR23">
            <v>0</v>
          </cell>
          <cell r="HJ23">
            <v>0</v>
          </cell>
          <cell r="HL23">
            <v>32377641.370000001</v>
          </cell>
          <cell r="HN23">
            <v>0</v>
          </cell>
          <cell r="HR23">
            <v>0</v>
          </cell>
          <cell r="HT23">
            <v>0</v>
          </cell>
          <cell r="HV23">
            <v>32377641.370000001</v>
          </cell>
          <cell r="IB23">
            <v>39569565.100000001</v>
          </cell>
          <cell r="ID23">
            <v>0</v>
          </cell>
          <cell r="IF23">
            <v>0</v>
          </cell>
          <cell r="IR23">
            <v>0</v>
          </cell>
          <cell r="IT23">
            <v>0</v>
          </cell>
          <cell r="JB23">
            <v>0</v>
          </cell>
          <cell r="JD23">
            <v>0</v>
          </cell>
          <cell r="JN23">
            <v>0</v>
          </cell>
          <cell r="JZ23">
            <v>0</v>
          </cell>
          <cell r="KF23">
            <v>0</v>
          </cell>
          <cell r="KN23">
            <v>0</v>
          </cell>
          <cell r="KP23">
            <v>0</v>
          </cell>
          <cell r="KR23">
            <v>0</v>
          </cell>
          <cell r="KV23">
            <v>0</v>
          </cell>
          <cell r="KZ23">
            <v>0</v>
          </cell>
          <cell r="LB23">
            <v>0</v>
          </cell>
          <cell r="LF23">
            <v>27079092.100000001</v>
          </cell>
          <cell r="LH23">
            <v>0</v>
          </cell>
          <cell r="LV23">
            <v>0</v>
          </cell>
          <cell r="MR23">
            <v>0</v>
          </cell>
          <cell r="MT23">
            <v>0</v>
          </cell>
          <cell r="ND23">
            <v>0</v>
          </cell>
          <cell r="NF23">
            <v>0</v>
          </cell>
          <cell r="NH23">
            <v>0</v>
          </cell>
          <cell r="NJ23">
            <v>0</v>
          </cell>
          <cell r="NL23">
            <v>1413600</v>
          </cell>
          <cell r="NN23">
            <v>2009128.73</v>
          </cell>
          <cell r="NP23">
            <v>469632.43</v>
          </cell>
          <cell r="NR23">
            <v>0</v>
          </cell>
          <cell r="NT23">
            <v>0</v>
          </cell>
          <cell r="NV23">
            <v>0</v>
          </cell>
          <cell r="NX23">
            <v>1413600</v>
          </cell>
          <cell r="NZ23">
            <v>2176944.3199999998</v>
          </cell>
          <cell r="OB23">
            <v>469632.43</v>
          </cell>
          <cell r="OD23">
            <v>1947840</v>
          </cell>
          <cell r="OF23">
            <v>11780</v>
          </cell>
          <cell r="OH23">
            <v>21230</v>
          </cell>
          <cell r="OJ23">
            <v>876551.08</v>
          </cell>
          <cell r="OP23">
            <v>1947840</v>
          </cell>
          <cell r="OR23">
            <v>12000.71</v>
          </cell>
          <cell r="OT23">
            <v>21009.29</v>
          </cell>
          <cell r="OV23">
            <v>876551.08</v>
          </cell>
          <cell r="OY23">
            <v>0</v>
          </cell>
          <cell r="PA23">
            <v>0</v>
          </cell>
          <cell r="PC23">
            <v>83819.929999999993</v>
          </cell>
          <cell r="PK23">
            <v>0</v>
          </cell>
          <cell r="PM23">
            <v>0</v>
          </cell>
          <cell r="PW23">
            <v>0</v>
          </cell>
        </row>
        <row r="24">
          <cell r="R24">
            <v>0</v>
          </cell>
          <cell r="T24">
            <v>0</v>
          </cell>
          <cell r="AH24">
            <v>220684.81</v>
          </cell>
          <cell r="AJ24">
            <v>0</v>
          </cell>
          <cell r="AX24">
            <v>0</v>
          </cell>
          <cell r="BB24">
            <v>0</v>
          </cell>
          <cell r="BF24">
            <v>0</v>
          </cell>
          <cell r="BR24">
            <v>1833050.41</v>
          </cell>
          <cell r="BT24">
            <v>0</v>
          </cell>
          <cell r="BV24">
            <v>103085.85</v>
          </cell>
          <cell r="CB24">
            <v>0</v>
          </cell>
          <cell r="CD24">
            <v>0</v>
          </cell>
          <cell r="CR24">
            <v>0</v>
          </cell>
          <cell r="DX24">
            <v>13913.04</v>
          </cell>
          <cell r="DZ24">
            <v>0</v>
          </cell>
          <cell r="FB24">
            <v>53052.329999999987</v>
          </cell>
          <cell r="FD24">
            <v>0</v>
          </cell>
          <cell r="FF24">
            <v>0</v>
          </cell>
          <cell r="FH24">
            <v>150995.1</v>
          </cell>
          <cell r="FJ24">
            <v>53052.329999999987</v>
          </cell>
          <cell r="FL24">
            <v>0</v>
          </cell>
          <cell r="FN24">
            <v>0</v>
          </cell>
          <cell r="FP24">
            <v>150995.1</v>
          </cell>
          <cell r="FV24">
            <v>0</v>
          </cell>
          <cell r="FX24">
            <v>0</v>
          </cell>
          <cell r="FZ24">
            <v>0</v>
          </cell>
          <cell r="GF24">
            <v>0</v>
          </cell>
          <cell r="GH24">
            <v>0</v>
          </cell>
          <cell r="GJ24">
            <v>5000000</v>
          </cell>
          <cell r="GP24">
            <v>0</v>
          </cell>
          <cell r="GR24">
            <v>5000000</v>
          </cell>
          <cell r="HJ24">
            <v>0</v>
          </cell>
          <cell r="HL24">
            <v>20694920.82</v>
          </cell>
          <cell r="HN24">
            <v>0</v>
          </cell>
          <cell r="HR24">
            <v>0</v>
          </cell>
          <cell r="HT24">
            <v>0</v>
          </cell>
          <cell r="HV24">
            <v>20694920.82</v>
          </cell>
          <cell r="IB24">
            <v>31138820.609999999</v>
          </cell>
          <cell r="ID24">
            <v>0</v>
          </cell>
          <cell r="IF24">
            <v>0</v>
          </cell>
          <cell r="IR24">
            <v>0</v>
          </cell>
          <cell r="IT24">
            <v>0</v>
          </cell>
          <cell r="JB24">
            <v>0</v>
          </cell>
          <cell r="JD24">
            <v>0</v>
          </cell>
          <cell r="JN24">
            <v>0</v>
          </cell>
          <cell r="JZ24">
            <v>0</v>
          </cell>
          <cell r="KF24">
            <v>0</v>
          </cell>
          <cell r="KN24">
            <v>0</v>
          </cell>
          <cell r="KP24">
            <v>0</v>
          </cell>
          <cell r="KR24">
            <v>0</v>
          </cell>
          <cell r="KV24">
            <v>0</v>
          </cell>
          <cell r="KZ24">
            <v>0</v>
          </cell>
          <cell r="LB24">
            <v>0</v>
          </cell>
          <cell r="LF24">
            <v>24746050.73</v>
          </cell>
          <cell r="LH24">
            <v>0</v>
          </cell>
          <cell r="LV24">
            <v>0</v>
          </cell>
          <cell r="MR24">
            <v>0</v>
          </cell>
          <cell r="MT24">
            <v>0</v>
          </cell>
          <cell r="ND24">
            <v>0</v>
          </cell>
          <cell r="NF24">
            <v>2360830.06</v>
          </cell>
          <cell r="NH24">
            <v>0</v>
          </cell>
          <cell r="NJ24">
            <v>0</v>
          </cell>
          <cell r="NL24">
            <v>1469200</v>
          </cell>
          <cell r="NN24">
            <v>662244.66</v>
          </cell>
          <cell r="NP24">
            <v>250276.43</v>
          </cell>
          <cell r="NR24">
            <v>516015.17</v>
          </cell>
          <cell r="NT24">
            <v>0</v>
          </cell>
          <cell r="NV24">
            <v>0</v>
          </cell>
          <cell r="NX24">
            <v>1469200</v>
          </cell>
          <cell r="NZ24">
            <v>662244.66</v>
          </cell>
          <cell r="OB24">
            <v>250276.43</v>
          </cell>
          <cell r="OD24">
            <v>105320</v>
          </cell>
          <cell r="OF24">
            <v>51600</v>
          </cell>
          <cell r="OH24">
            <v>91990</v>
          </cell>
          <cell r="OJ24">
            <v>211295.67</v>
          </cell>
          <cell r="OP24">
            <v>105320</v>
          </cell>
          <cell r="OR24">
            <v>52201.81</v>
          </cell>
          <cell r="OT24">
            <v>91388.19</v>
          </cell>
          <cell r="OV24">
            <v>211295.67</v>
          </cell>
          <cell r="OY24">
            <v>328420.29000000004</v>
          </cell>
          <cell r="PA24">
            <v>622417.85999999987</v>
          </cell>
          <cell r="PC24">
            <v>87872.65</v>
          </cell>
          <cell r="PG24">
            <v>1762206.4</v>
          </cell>
          <cell r="PK24">
            <v>0</v>
          </cell>
          <cell r="PM24">
            <v>622417.85999999987</v>
          </cell>
          <cell r="PS24">
            <v>1762206.4</v>
          </cell>
          <cell r="PW24">
            <v>86579.34</v>
          </cell>
        </row>
        <row r="25">
          <cell r="R25">
            <v>0</v>
          </cell>
          <cell r="T25">
            <v>1700000</v>
          </cell>
          <cell r="AH25">
            <v>217781.07</v>
          </cell>
          <cell r="AJ25">
            <v>0</v>
          </cell>
          <cell r="AX25">
            <v>0</v>
          </cell>
          <cell r="BB25">
            <v>0</v>
          </cell>
          <cell r="BF25">
            <v>0</v>
          </cell>
          <cell r="BR25">
            <v>0</v>
          </cell>
          <cell r="BT25">
            <v>6100000</v>
          </cell>
          <cell r="BV25">
            <v>166456.19</v>
          </cell>
          <cell r="BX25">
            <v>750000</v>
          </cell>
          <cell r="BZ25">
            <v>14250000</v>
          </cell>
          <cell r="CB25">
            <v>0</v>
          </cell>
          <cell r="CD25">
            <v>2976859.4600000009</v>
          </cell>
          <cell r="CJ25">
            <v>8472600</v>
          </cell>
          <cell r="CR25">
            <v>0</v>
          </cell>
          <cell r="DX25">
            <v>15652.17</v>
          </cell>
          <cell r="DZ25">
            <v>0</v>
          </cell>
          <cell r="FB25">
            <v>14615.870000000003</v>
          </cell>
          <cell r="FD25">
            <v>6586.9699999999939</v>
          </cell>
          <cell r="FF25">
            <v>6586.9699999999939</v>
          </cell>
          <cell r="FH25">
            <v>41599.019999999997</v>
          </cell>
          <cell r="FJ25">
            <v>14615.870000000003</v>
          </cell>
          <cell r="FL25">
            <v>6586.9699999999939</v>
          </cell>
          <cell r="FN25">
            <v>6586.9699999999939</v>
          </cell>
          <cell r="FP25">
            <v>41599.019999999997</v>
          </cell>
          <cell r="FR25">
            <v>18747.54</v>
          </cell>
          <cell r="FT25">
            <v>18747.54</v>
          </cell>
          <cell r="FV25">
            <v>0</v>
          </cell>
          <cell r="FX25">
            <v>821052.83999999985</v>
          </cell>
          <cell r="FZ25">
            <v>821052.83999999985</v>
          </cell>
          <cell r="GD25">
            <v>15600000</v>
          </cell>
          <cell r="GF25">
            <v>821052.83999999985</v>
          </cell>
          <cell r="GH25">
            <v>821052.83999999985</v>
          </cell>
          <cell r="GJ25">
            <v>14144209.58</v>
          </cell>
          <cell r="GL25">
            <v>15600000</v>
          </cell>
          <cell r="GN25">
            <v>15600000</v>
          </cell>
          <cell r="GP25">
            <v>0</v>
          </cell>
          <cell r="GR25">
            <v>23157630.66</v>
          </cell>
          <cell r="GT25">
            <v>9013421.0800000001</v>
          </cell>
          <cell r="HJ25">
            <v>0</v>
          </cell>
          <cell r="HL25">
            <v>2274159.02</v>
          </cell>
          <cell r="HN25">
            <v>67126000</v>
          </cell>
          <cell r="HR25">
            <v>46749409.060000002</v>
          </cell>
          <cell r="HT25">
            <v>0</v>
          </cell>
          <cell r="HV25">
            <v>2274159.02</v>
          </cell>
          <cell r="HX25">
            <v>0</v>
          </cell>
          <cell r="IB25">
            <v>51129544.369999997</v>
          </cell>
          <cell r="ID25">
            <v>0</v>
          </cell>
          <cell r="IF25">
            <v>1369633.2100000046</v>
          </cell>
          <cell r="IH25">
            <v>0</v>
          </cell>
          <cell r="IL25">
            <v>26023031.159999996</v>
          </cell>
          <cell r="IR25">
            <v>0</v>
          </cell>
          <cell r="IT25">
            <v>0</v>
          </cell>
          <cell r="JB25">
            <v>0</v>
          </cell>
          <cell r="JD25">
            <v>0</v>
          </cell>
          <cell r="JN25">
            <v>0</v>
          </cell>
          <cell r="JZ25">
            <v>0</v>
          </cell>
          <cell r="KF25">
            <v>0</v>
          </cell>
          <cell r="KN25">
            <v>0</v>
          </cell>
          <cell r="KP25">
            <v>0</v>
          </cell>
          <cell r="KR25">
            <v>0</v>
          </cell>
          <cell r="KV25">
            <v>9950087.3200000059</v>
          </cell>
          <cell r="KZ25">
            <v>0</v>
          </cell>
          <cell r="LB25">
            <v>64972277.170000002</v>
          </cell>
          <cell r="LF25">
            <v>34608660.109999999</v>
          </cell>
          <cell r="LH25">
            <v>9950087.3200000059</v>
          </cell>
          <cell r="LL25">
            <v>3729042.1000000015</v>
          </cell>
          <cell r="LR25">
            <v>742629.11</v>
          </cell>
          <cell r="LT25">
            <v>243864.57</v>
          </cell>
          <cell r="LX25">
            <v>3729042.1000000015</v>
          </cell>
          <cell r="MD25">
            <v>15838100</v>
          </cell>
          <cell r="MR25">
            <v>0</v>
          </cell>
          <cell r="MT25">
            <v>0</v>
          </cell>
          <cell r="MV25">
            <v>0</v>
          </cell>
          <cell r="ND25">
            <v>0</v>
          </cell>
          <cell r="NF25">
            <v>0</v>
          </cell>
          <cell r="NH25">
            <v>0</v>
          </cell>
          <cell r="NJ25">
            <v>0</v>
          </cell>
          <cell r="NL25">
            <v>3658000</v>
          </cell>
          <cell r="NN25">
            <v>2495414.66</v>
          </cell>
          <cell r="NP25">
            <v>2339659.63</v>
          </cell>
          <cell r="NR25">
            <v>0</v>
          </cell>
          <cell r="NT25">
            <v>0</v>
          </cell>
          <cell r="NV25">
            <v>0</v>
          </cell>
          <cell r="NX25">
            <v>3658000</v>
          </cell>
          <cell r="NZ25">
            <v>671842.41000000015</v>
          </cell>
          <cell r="OB25">
            <v>2339659.63</v>
          </cell>
          <cell r="OD25">
            <v>3782048.87</v>
          </cell>
          <cell r="OF25">
            <v>25050</v>
          </cell>
          <cell r="OH25">
            <v>43240</v>
          </cell>
          <cell r="OJ25">
            <v>185321.32</v>
          </cell>
          <cell r="OP25">
            <v>3782048.87</v>
          </cell>
          <cell r="OR25">
            <v>24826.67</v>
          </cell>
          <cell r="OT25">
            <v>43463.33</v>
          </cell>
          <cell r="OV25">
            <v>185321.32</v>
          </cell>
          <cell r="OY25">
            <v>719213.30999999994</v>
          </cell>
          <cell r="PA25">
            <v>175944.32000000001</v>
          </cell>
          <cell r="PC25">
            <v>106222.74</v>
          </cell>
          <cell r="PK25">
            <v>0</v>
          </cell>
          <cell r="PM25">
            <v>0</v>
          </cell>
          <cell r="PW25">
            <v>160272.44</v>
          </cell>
        </row>
        <row r="26">
          <cell r="R26">
            <v>0</v>
          </cell>
          <cell r="T26">
            <v>0</v>
          </cell>
          <cell r="AH26">
            <v>222464.53</v>
          </cell>
          <cell r="AJ26">
            <v>0</v>
          </cell>
          <cell r="AX26">
            <v>157442.10999999987</v>
          </cell>
          <cell r="AZ26">
            <v>2991400</v>
          </cell>
          <cell r="BB26">
            <v>0</v>
          </cell>
          <cell r="BF26">
            <v>0</v>
          </cell>
          <cell r="BR26">
            <v>3257971.49</v>
          </cell>
          <cell r="BT26">
            <v>300000</v>
          </cell>
          <cell r="BV26">
            <v>56024.91</v>
          </cell>
          <cell r="CB26">
            <v>0</v>
          </cell>
          <cell r="CD26">
            <v>0</v>
          </cell>
          <cell r="CR26">
            <v>0</v>
          </cell>
          <cell r="DX26">
            <v>8695.65</v>
          </cell>
          <cell r="DZ26">
            <v>0</v>
          </cell>
          <cell r="FB26">
            <v>27591.880000000005</v>
          </cell>
          <cell r="FD26">
            <v>0</v>
          </cell>
          <cell r="FF26">
            <v>0</v>
          </cell>
          <cell r="FH26">
            <v>78530.73</v>
          </cell>
          <cell r="FJ26">
            <v>27591.880000000005</v>
          </cell>
          <cell r="FL26">
            <v>0</v>
          </cell>
          <cell r="FN26">
            <v>0</v>
          </cell>
          <cell r="FP26">
            <v>78530.73</v>
          </cell>
          <cell r="FV26">
            <v>0</v>
          </cell>
          <cell r="FX26">
            <v>0</v>
          </cell>
          <cell r="FZ26">
            <v>0</v>
          </cell>
          <cell r="GF26">
            <v>0</v>
          </cell>
          <cell r="GH26">
            <v>0</v>
          </cell>
          <cell r="GJ26">
            <v>8429823.2200000007</v>
          </cell>
          <cell r="GP26">
            <v>0</v>
          </cell>
          <cell r="GR26">
            <v>8429823.2200000007</v>
          </cell>
          <cell r="HJ26">
            <v>0</v>
          </cell>
          <cell r="HL26">
            <v>12543068.1</v>
          </cell>
          <cell r="HN26">
            <v>0</v>
          </cell>
          <cell r="HR26">
            <v>0</v>
          </cell>
          <cell r="HT26">
            <v>0</v>
          </cell>
          <cell r="HV26">
            <v>12543068.1</v>
          </cell>
          <cell r="IB26">
            <v>29315000</v>
          </cell>
          <cell r="ID26">
            <v>0</v>
          </cell>
          <cell r="IF26">
            <v>0</v>
          </cell>
          <cell r="IR26">
            <v>0</v>
          </cell>
          <cell r="IT26">
            <v>0</v>
          </cell>
          <cell r="JB26">
            <v>0</v>
          </cell>
          <cell r="JD26">
            <v>0</v>
          </cell>
          <cell r="JN26">
            <v>0</v>
          </cell>
          <cell r="JZ26">
            <v>0</v>
          </cell>
          <cell r="KF26">
            <v>0</v>
          </cell>
          <cell r="KN26">
            <v>0</v>
          </cell>
          <cell r="KP26">
            <v>0</v>
          </cell>
          <cell r="KR26">
            <v>0</v>
          </cell>
          <cell r="KV26">
            <v>0</v>
          </cell>
          <cell r="KZ26">
            <v>0</v>
          </cell>
          <cell r="LB26">
            <v>0</v>
          </cell>
          <cell r="LF26">
            <v>26315915.960000001</v>
          </cell>
          <cell r="LH26">
            <v>0</v>
          </cell>
          <cell r="LV26">
            <v>0</v>
          </cell>
          <cell r="MR26">
            <v>0</v>
          </cell>
          <cell r="MT26">
            <v>0</v>
          </cell>
          <cell r="ND26">
            <v>0</v>
          </cell>
          <cell r="NF26">
            <v>0</v>
          </cell>
          <cell r="NH26">
            <v>0</v>
          </cell>
          <cell r="NJ26">
            <v>0</v>
          </cell>
          <cell r="NL26">
            <v>706800</v>
          </cell>
          <cell r="NN26">
            <v>580183.91</v>
          </cell>
          <cell r="NP26">
            <v>1634033.69</v>
          </cell>
          <cell r="NR26">
            <v>590517.77</v>
          </cell>
          <cell r="NT26">
            <v>0</v>
          </cell>
          <cell r="NV26">
            <v>0</v>
          </cell>
          <cell r="NX26">
            <v>706800</v>
          </cell>
          <cell r="NZ26">
            <v>580183.91</v>
          </cell>
          <cell r="OB26">
            <v>1634033.69</v>
          </cell>
          <cell r="OD26">
            <v>228140</v>
          </cell>
          <cell r="OF26">
            <v>49490</v>
          </cell>
          <cell r="OH26">
            <v>87270</v>
          </cell>
          <cell r="OJ26">
            <v>377128.78</v>
          </cell>
          <cell r="OP26">
            <v>228140</v>
          </cell>
          <cell r="OR26">
            <v>49718.78</v>
          </cell>
          <cell r="OT26">
            <v>87041.22</v>
          </cell>
          <cell r="OV26">
            <v>377128.78</v>
          </cell>
          <cell r="OY26">
            <v>627186.69999999995</v>
          </cell>
          <cell r="PA26">
            <v>0</v>
          </cell>
          <cell r="PC26">
            <v>84836.06</v>
          </cell>
          <cell r="PK26">
            <v>0</v>
          </cell>
          <cell r="PM26">
            <v>0</v>
          </cell>
          <cell r="PW26">
            <v>133639.18</v>
          </cell>
        </row>
        <row r="27">
          <cell r="R27">
            <v>4000000</v>
          </cell>
          <cell r="T27">
            <v>3600000</v>
          </cell>
          <cell r="AH27">
            <v>232753.51</v>
          </cell>
          <cell r="AJ27">
            <v>0</v>
          </cell>
          <cell r="AX27">
            <v>0</v>
          </cell>
          <cell r="BB27">
            <v>0</v>
          </cell>
          <cell r="BF27">
            <v>0</v>
          </cell>
          <cell r="BR27">
            <v>0</v>
          </cell>
          <cell r="BT27">
            <v>0</v>
          </cell>
          <cell r="BV27">
            <v>197063.12</v>
          </cell>
          <cell r="BX27">
            <v>400000</v>
          </cell>
          <cell r="BZ27">
            <v>7600000</v>
          </cell>
          <cell r="CB27">
            <v>0</v>
          </cell>
          <cell r="CD27">
            <v>0</v>
          </cell>
          <cell r="CR27">
            <v>0</v>
          </cell>
          <cell r="DX27">
            <v>5217.3900000000003</v>
          </cell>
          <cell r="DZ27">
            <v>0</v>
          </cell>
          <cell r="EH27">
            <v>131578.95000000001</v>
          </cell>
          <cell r="EL27">
            <v>2500000</v>
          </cell>
          <cell r="FB27">
            <v>66066.359999999986</v>
          </cell>
          <cell r="FD27">
            <v>0</v>
          </cell>
          <cell r="FF27">
            <v>0</v>
          </cell>
          <cell r="FH27">
            <v>188035.01</v>
          </cell>
          <cell r="FJ27">
            <v>66066.359999999986</v>
          </cell>
          <cell r="FL27">
            <v>0</v>
          </cell>
          <cell r="FN27">
            <v>0</v>
          </cell>
          <cell r="FP27">
            <v>188035.01</v>
          </cell>
          <cell r="FV27">
            <v>0</v>
          </cell>
          <cell r="FX27">
            <v>821052.83999999985</v>
          </cell>
          <cell r="FZ27">
            <v>821052.83999999985</v>
          </cell>
          <cell r="GD27">
            <v>15600000</v>
          </cell>
          <cell r="GF27">
            <v>821052.83999999985</v>
          </cell>
          <cell r="GH27">
            <v>821052.83999999985</v>
          </cell>
          <cell r="GJ27">
            <v>13206720.619999999</v>
          </cell>
          <cell r="GL27">
            <v>15600000</v>
          </cell>
          <cell r="GN27">
            <v>15600000</v>
          </cell>
          <cell r="GP27">
            <v>0</v>
          </cell>
          <cell r="GR27">
            <v>22237679.68</v>
          </cell>
          <cell r="GT27">
            <v>9030959.0600000005</v>
          </cell>
          <cell r="HJ27">
            <v>0</v>
          </cell>
          <cell r="HL27">
            <v>28613600</v>
          </cell>
          <cell r="HN27">
            <v>19531000</v>
          </cell>
          <cell r="HR27">
            <v>11957838.710000001</v>
          </cell>
          <cell r="HT27">
            <v>0</v>
          </cell>
          <cell r="HV27">
            <v>28613600</v>
          </cell>
          <cell r="HX27">
            <v>0</v>
          </cell>
          <cell r="IB27">
            <v>45124354.030000001</v>
          </cell>
          <cell r="ID27">
            <v>0</v>
          </cell>
          <cell r="IF27">
            <v>476394.16000000015</v>
          </cell>
          <cell r="IH27">
            <v>0</v>
          </cell>
          <cell r="IL27">
            <v>9051489.0999999996</v>
          </cell>
          <cell r="IR27">
            <v>0</v>
          </cell>
          <cell r="IT27">
            <v>0</v>
          </cell>
          <cell r="JB27">
            <v>0</v>
          </cell>
          <cell r="JD27">
            <v>0</v>
          </cell>
          <cell r="JN27">
            <v>0</v>
          </cell>
          <cell r="JZ27">
            <v>0</v>
          </cell>
          <cell r="KF27">
            <v>0</v>
          </cell>
          <cell r="KN27">
            <v>28177208.5</v>
          </cell>
          <cell r="KP27">
            <v>0</v>
          </cell>
          <cell r="KR27">
            <v>0</v>
          </cell>
          <cell r="KV27">
            <v>0</v>
          </cell>
          <cell r="KZ27">
            <v>28177208.5</v>
          </cell>
          <cell r="LB27">
            <v>0</v>
          </cell>
          <cell r="LF27">
            <v>29775911.420000002</v>
          </cell>
          <cell r="LH27">
            <v>0</v>
          </cell>
          <cell r="LV27">
            <v>0</v>
          </cell>
          <cell r="MR27">
            <v>0</v>
          </cell>
          <cell r="MT27">
            <v>9000000</v>
          </cell>
          <cell r="MV27">
            <v>9000000</v>
          </cell>
          <cell r="ND27">
            <v>0</v>
          </cell>
          <cell r="NF27">
            <v>15495743.17</v>
          </cell>
          <cell r="NH27">
            <v>9000000</v>
          </cell>
          <cell r="NJ27">
            <v>504797.45</v>
          </cell>
          <cell r="NL27">
            <v>714400</v>
          </cell>
          <cell r="NN27">
            <v>493719.02</v>
          </cell>
          <cell r="NP27">
            <v>530797.61</v>
          </cell>
          <cell r="NR27">
            <v>0</v>
          </cell>
          <cell r="NT27">
            <v>504797.45</v>
          </cell>
          <cell r="NV27">
            <v>504797.45</v>
          </cell>
          <cell r="NX27">
            <v>714400</v>
          </cell>
          <cell r="NZ27">
            <v>493719.02</v>
          </cell>
          <cell r="OB27">
            <v>530797.61</v>
          </cell>
          <cell r="OD27">
            <v>533720</v>
          </cell>
          <cell r="OF27">
            <v>55430</v>
          </cell>
          <cell r="OH27">
            <v>96700</v>
          </cell>
          <cell r="OJ27">
            <v>194713.62</v>
          </cell>
          <cell r="OP27">
            <v>533720</v>
          </cell>
          <cell r="OR27">
            <v>55306.51</v>
          </cell>
          <cell r="OT27">
            <v>96823.49</v>
          </cell>
          <cell r="OV27">
            <v>194713.62</v>
          </cell>
          <cell r="OY27">
            <v>391040.27000000008</v>
          </cell>
          <cell r="PA27">
            <v>10635.15</v>
          </cell>
          <cell r="PC27">
            <v>0</v>
          </cell>
          <cell r="PG27">
            <v>224762.96</v>
          </cell>
          <cell r="PK27">
            <v>0</v>
          </cell>
          <cell r="PM27">
            <v>79387.120000000024</v>
          </cell>
          <cell r="PS27">
            <v>224762.96</v>
          </cell>
          <cell r="PW27">
            <v>0</v>
          </cell>
        </row>
        <row r="30">
          <cell r="R30">
            <v>0</v>
          </cell>
          <cell r="T30">
            <v>0</v>
          </cell>
          <cell r="AH30">
            <v>605309.13</v>
          </cell>
          <cell r="AJ30">
            <v>2200444.5</v>
          </cell>
          <cell r="AL30">
            <v>0</v>
          </cell>
          <cell r="AP30">
            <v>0</v>
          </cell>
          <cell r="BB30">
            <v>0</v>
          </cell>
          <cell r="BD30">
            <v>12000000</v>
          </cell>
          <cell r="BF30">
            <v>35391164.860000014</v>
          </cell>
          <cell r="BH30">
            <v>100728700</v>
          </cell>
          <cell r="BJ30">
            <v>43250622.82</v>
          </cell>
          <cell r="BT30">
            <v>0</v>
          </cell>
          <cell r="BV30">
            <v>368451.74</v>
          </cell>
          <cell r="CV30">
            <v>0</v>
          </cell>
          <cell r="DX30">
            <v>78260.87</v>
          </cell>
          <cell r="ET30">
            <v>874267.56999999983</v>
          </cell>
          <cell r="EV30">
            <v>2488300</v>
          </cell>
          <cell r="FJ30">
            <v>115738.46000000002</v>
          </cell>
          <cell r="FP30">
            <v>329409.49</v>
          </cell>
          <cell r="FV30">
            <v>1526316.1799999997</v>
          </cell>
          <cell r="GD30">
            <v>1526316.1799999997</v>
          </cell>
          <cell r="GJ30">
            <v>29000000</v>
          </cell>
          <cell r="GP30">
            <v>20000000</v>
          </cell>
          <cell r="HH30">
            <v>0</v>
          </cell>
          <cell r="HJ30">
            <v>0</v>
          </cell>
          <cell r="HL30">
            <v>37759000</v>
          </cell>
          <cell r="HP30">
            <v>25590065.600000001</v>
          </cell>
          <cell r="HT30">
            <v>0</v>
          </cell>
          <cell r="JZ30">
            <v>0</v>
          </cell>
          <cell r="KL30">
            <v>0</v>
          </cell>
          <cell r="KP30">
            <v>315192127.60000002</v>
          </cell>
          <cell r="KZ30">
            <v>35219325.390000001</v>
          </cell>
          <cell r="LF30">
            <v>8836097.5</v>
          </cell>
          <cell r="LL30">
            <v>35219325.390000001</v>
          </cell>
          <cell r="LV30">
            <v>0</v>
          </cell>
          <cell r="MB30">
            <v>0</v>
          </cell>
          <cell r="MH30">
            <v>0</v>
          </cell>
          <cell r="MR30">
            <v>0</v>
          </cell>
          <cell r="ND30">
            <v>0</v>
          </cell>
          <cell r="NJ30">
            <v>0</v>
          </cell>
          <cell r="NL30">
            <v>15450750</v>
          </cell>
          <cell r="NX30">
            <v>15450750</v>
          </cell>
          <cell r="OD30">
            <v>2142010</v>
          </cell>
          <cell r="OJ30">
            <v>826233.13</v>
          </cell>
          <cell r="OP30">
            <v>2142010</v>
          </cell>
          <cell r="OR30">
            <v>20075.099999999999</v>
          </cell>
          <cell r="OT30">
            <v>35144.9</v>
          </cell>
          <cell r="OV30">
            <v>826233.13</v>
          </cell>
          <cell r="PC30">
            <v>170266.54</v>
          </cell>
          <cell r="PE30">
            <v>0</v>
          </cell>
          <cell r="PK30">
            <v>0</v>
          </cell>
          <cell r="PW30">
            <v>128646.85</v>
          </cell>
        </row>
        <row r="31">
          <cell r="R31">
            <v>2700000</v>
          </cell>
          <cell r="T31">
            <v>2700000</v>
          </cell>
          <cell r="AH31">
            <v>573263.28</v>
          </cell>
          <cell r="AJ31">
            <v>5822755.5</v>
          </cell>
          <cell r="AL31">
            <v>44427763.159999996</v>
          </cell>
          <cell r="AN31">
            <v>844127500</v>
          </cell>
          <cell r="AP31">
            <v>319132705.80000001</v>
          </cell>
          <cell r="BB31">
            <v>218122801.88</v>
          </cell>
          <cell r="BD31">
            <v>36000000</v>
          </cell>
          <cell r="BF31">
            <v>106173494.60000002</v>
          </cell>
          <cell r="BH31">
            <v>302186100</v>
          </cell>
          <cell r="BJ31">
            <v>168595447.86000001</v>
          </cell>
          <cell r="BT31">
            <v>109890300</v>
          </cell>
          <cell r="BV31">
            <v>2026396.43</v>
          </cell>
          <cell r="CV31">
            <v>348726.3200000003</v>
          </cell>
          <cell r="CX31">
            <v>6625800</v>
          </cell>
          <cell r="DX31">
            <v>246956.52</v>
          </cell>
          <cell r="ET31">
            <v>0</v>
          </cell>
          <cell r="FJ31">
            <v>313465.63</v>
          </cell>
          <cell r="FP31">
            <v>892171.43</v>
          </cell>
          <cell r="FV31">
            <v>7336028.1999999881</v>
          </cell>
          <cell r="GD31">
            <v>7336028.1999999881</v>
          </cell>
          <cell r="GJ31">
            <v>139384500</v>
          </cell>
          <cell r="GP31">
            <v>171621076.69999999</v>
          </cell>
          <cell r="HB31">
            <v>115116800</v>
          </cell>
          <cell r="HH31">
            <v>6058780</v>
          </cell>
          <cell r="HJ31">
            <v>115116800</v>
          </cell>
          <cell r="HT31">
            <v>39227634</v>
          </cell>
          <cell r="HX31">
            <v>360000000</v>
          </cell>
          <cell r="HZ31">
            <v>440147472.10000002</v>
          </cell>
          <cell r="JZ31">
            <v>13685959.390000001</v>
          </cell>
          <cell r="KL31">
            <v>13685959.390000001</v>
          </cell>
          <cell r="KN31">
            <v>260033228.37</v>
          </cell>
          <cell r="KP31">
            <v>1170078620.53</v>
          </cell>
          <cell r="KV31">
            <v>73933652.629999995</v>
          </cell>
          <cell r="KX31">
            <v>1404739120.51</v>
          </cell>
          <cell r="KZ31">
            <v>17640000</v>
          </cell>
          <cell r="LF31">
            <v>138440000</v>
          </cell>
          <cell r="LL31">
            <v>114780674.61</v>
          </cell>
          <cell r="LR31">
            <v>1145900</v>
          </cell>
          <cell r="LT31">
            <v>21770300</v>
          </cell>
          <cell r="LV31">
            <v>37815349</v>
          </cell>
          <cell r="MB31">
            <v>720202200</v>
          </cell>
          <cell r="MH31">
            <v>3965576.2799999993</v>
          </cell>
          <cell r="MJ31">
            <v>75345743.200000003</v>
          </cell>
          <cell r="MR31">
            <v>18900000</v>
          </cell>
          <cell r="ND31">
            <v>18900000</v>
          </cell>
          <cell r="NJ31">
            <v>20000000</v>
          </cell>
          <cell r="NL31">
            <v>168063410</v>
          </cell>
          <cell r="NX31">
            <v>168063410</v>
          </cell>
          <cell r="OD31">
            <v>2450510</v>
          </cell>
          <cell r="OJ31">
            <v>1888482.88</v>
          </cell>
          <cell r="OP31">
            <v>2450510</v>
          </cell>
          <cell r="OR31">
            <v>1203651.8400000001</v>
          </cell>
          <cell r="OT31">
            <v>2107198.16</v>
          </cell>
          <cell r="OV31">
            <v>1888482.88</v>
          </cell>
          <cell r="PC31">
            <v>836221.5</v>
          </cell>
          <cell r="PE31">
            <v>502200</v>
          </cell>
          <cell r="PK31">
            <v>5058011.3800000027</v>
          </cell>
          <cell r="PQ31">
            <v>14320379.789999999</v>
          </cell>
          <cell r="PW31">
            <v>0</v>
          </cell>
        </row>
        <row r="35">
          <cell r="F35">
            <v>15105033893.670002</v>
          </cell>
          <cell r="I35">
            <v>914333637.48000014</v>
          </cell>
        </row>
        <row r="36">
          <cell r="F36">
            <v>16510637.284009997</v>
          </cell>
        </row>
        <row r="39">
          <cell r="N39">
            <v>16388988608.379999</v>
          </cell>
        </row>
        <row r="40">
          <cell r="N40">
            <v>1283954714.71</v>
          </cell>
        </row>
      </sheetData>
      <sheetData sheetId="76">
        <row r="43">
          <cell r="F43">
            <v>1283954714.7100003</v>
          </cell>
        </row>
      </sheetData>
      <sheetData sheetId="77" refreshError="1"/>
      <sheetData sheetId="78" refreshError="1"/>
      <sheetData sheetId="79">
        <row r="10">
          <cell r="B10">
            <v>49325031.859999999</v>
          </cell>
          <cell r="K10">
            <v>8645767</v>
          </cell>
          <cell r="Q10">
            <v>0</v>
          </cell>
          <cell r="S10">
            <v>0</v>
          </cell>
          <cell r="Y10">
            <v>6136480</v>
          </cell>
          <cell r="AA10">
            <v>0</v>
          </cell>
          <cell r="AC10">
            <v>0</v>
          </cell>
          <cell r="AE10">
            <v>28379802</v>
          </cell>
          <cell r="AI10">
            <v>53923.83</v>
          </cell>
          <cell r="AK10">
            <v>1024552.7300000001</v>
          </cell>
          <cell r="AQ10">
            <v>1230322.1100000001</v>
          </cell>
          <cell r="BA10">
            <v>3854184.19</v>
          </cell>
          <cell r="BC10">
            <v>0</v>
          </cell>
        </row>
        <row r="11">
          <cell r="G11">
            <v>22525000</v>
          </cell>
          <cell r="K11">
            <v>32651467</v>
          </cell>
          <cell r="M11">
            <v>89812611.289999992</v>
          </cell>
          <cell r="Q11">
            <v>0</v>
          </cell>
          <cell r="S11">
            <v>600000</v>
          </cell>
          <cell r="Y11">
            <v>8218700.0000000009</v>
          </cell>
          <cell r="AA11">
            <v>23803000</v>
          </cell>
          <cell r="AC11">
            <v>23803000</v>
          </cell>
          <cell r="AE11">
            <v>2485140</v>
          </cell>
          <cell r="AG11">
            <v>22789590</v>
          </cell>
          <cell r="AI11">
            <v>283100.09999999998</v>
          </cell>
          <cell r="AK11">
            <v>5378901.8200000003</v>
          </cell>
          <cell r="BA11">
            <v>1797387.6800000002</v>
          </cell>
          <cell r="BC11">
            <v>5090310.7200000007</v>
          </cell>
          <cell r="BE11">
            <v>464604.76</v>
          </cell>
        </row>
        <row r="12">
          <cell r="G12">
            <v>23392389</v>
          </cell>
          <cell r="K12">
            <v>15744768</v>
          </cell>
          <cell r="M12">
            <v>120669638.52000001</v>
          </cell>
          <cell r="Q12">
            <v>0</v>
          </cell>
          <cell r="S12">
            <v>474539</v>
          </cell>
          <cell r="Y12">
            <v>18517240</v>
          </cell>
          <cell r="AA12">
            <v>3765300</v>
          </cell>
          <cell r="AC12">
            <v>3765300</v>
          </cell>
          <cell r="AE12">
            <v>29878876</v>
          </cell>
          <cell r="AI12">
            <v>67404.78</v>
          </cell>
          <cell r="AK12">
            <v>1280690.9099999999</v>
          </cell>
          <cell r="AS12">
            <v>2754775.3</v>
          </cell>
          <cell r="BA12">
            <v>3377802.23</v>
          </cell>
          <cell r="BC12">
            <v>3885429.67</v>
          </cell>
        </row>
        <row r="13">
          <cell r="K13">
            <v>14051631</v>
          </cell>
          <cell r="Q13">
            <v>0</v>
          </cell>
          <cell r="S13">
            <v>3524029.9999999995</v>
          </cell>
          <cell r="Y13">
            <v>0</v>
          </cell>
          <cell r="AA13">
            <v>0</v>
          </cell>
          <cell r="AC13">
            <v>0</v>
          </cell>
          <cell r="AE13">
            <v>28448132</v>
          </cell>
          <cell r="AG13">
            <v>19338208</v>
          </cell>
          <cell r="AI13">
            <v>67404.78</v>
          </cell>
          <cell r="AK13">
            <v>1280690.9099999999</v>
          </cell>
          <cell r="AS13">
            <v>1968929.84</v>
          </cell>
          <cell r="BA13">
            <v>2484809.14</v>
          </cell>
          <cell r="BC13">
            <v>4164390.2099999995</v>
          </cell>
        </row>
        <row r="14">
          <cell r="K14">
            <v>15525211</v>
          </cell>
          <cell r="Q14">
            <v>6378526</v>
          </cell>
          <cell r="S14">
            <v>0</v>
          </cell>
          <cell r="Y14">
            <v>6694800</v>
          </cell>
          <cell r="AA14">
            <v>0</v>
          </cell>
          <cell r="AC14">
            <v>0</v>
          </cell>
          <cell r="AE14">
            <v>73457366</v>
          </cell>
          <cell r="AI14">
            <v>175252.44</v>
          </cell>
          <cell r="AK14">
            <v>3329796.36</v>
          </cell>
          <cell r="AQ14">
            <v>3307047.49</v>
          </cell>
          <cell r="BA14">
            <v>3838367.78</v>
          </cell>
          <cell r="BC14">
            <v>0</v>
          </cell>
        </row>
        <row r="15">
          <cell r="G15">
            <v>5649890</v>
          </cell>
          <cell r="K15">
            <v>11124208</v>
          </cell>
          <cell r="Q15">
            <v>0</v>
          </cell>
          <cell r="S15">
            <v>0</v>
          </cell>
          <cell r="Y15">
            <v>10085600</v>
          </cell>
          <cell r="AA15">
            <v>0</v>
          </cell>
          <cell r="AC15">
            <v>0</v>
          </cell>
          <cell r="AE15">
            <v>38286526.810000002</v>
          </cell>
          <cell r="AG15">
            <v>5291224.71</v>
          </cell>
          <cell r="AI15">
            <v>94366.7</v>
          </cell>
          <cell r="AK15">
            <v>1792967.27</v>
          </cell>
          <cell r="BA15">
            <v>1730413.71</v>
          </cell>
          <cell r="BC15">
            <v>3738335.4899999998</v>
          </cell>
        </row>
        <row r="16">
          <cell r="G16">
            <v>18869680</v>
          </cell>
          <cell r="K16">
            <v>15003043</v>
          </cell>
          <cell r="Q16">
            <v>0</v>
          </cell>
          <cell r="S16">
            <v>1034493.8099999999</v>
          </cell>
          <cell r="Y16">
            <v>0</v>
          </cell>
          <cell r="AA16">
            <v>0</v>
          </cell>
          <cell r="AC16">
            <v>0</v>
          </cell>
          <cell r="AE16">
            <v>18030732.199999999</v>
          </cell>
          <cell r="AG16">
            <v>5848662</v>
          </cell>
          <cell r="AI16">
            <v>67404.78</v>
          </cell>
          <cell r="AK16">
            <v>1280690.9099999999</v>
          </cell>
          <cell r="AS16">
            <v>12155744.510000002</v>
          </cell>
          <cell r="BA16">
            <v>3076110.1500000004</v>
          </cell>
          <cell r="BC16">
            <v>4748116.45</v>
          </cell>
        </row>
        <row r="17">
          <cell r="K17">
            <v>13295934</v>
          </cell>
          <cell r="M17">
            <v>27167689.879999999</v>
          </cell>
          <cell r="Q17">
            <v>0</v>
          </cell>
          <cell r="S17">
            <v>0</v>
          </cell>
          <cell r="Y17">
            <v>10950000</v>
          </cell>
          <cell r="AA17">
            <v>0</v>
          </cell>
          <cell r="AC17">
            <v>0</v>
          </cell>
          <cell r="AE17">
            <v>54357337.200000003</v>
          </cell>
          <cell r="AI17">
            <v>80885.740000000005</v>
          </cell>
          <cell r="AK17">
            <v>1536829.0899999999</v>
          </cell>
          <cell r="AS17">
            <v>3145111.6</v>
          </cell>
          <cell r="BA17">
            <v>2673598.75</v>
          </cell>
          <cell r="BC17">
            <v>6270654.2699999996</v>
          </cell>
          <cell r="BE17">
            <v>730109.4</v>
          </cell>
        </row>
        <row r="18">
          <cell r="G18">
            <v>27174991.600000001</v>
          </cell>
          <cell r="K18">
            <v>9704906</v>
          </cell>
          <cell r="Q18">
            <v>2001336.3</v>
          </cell>
          <cell r="S18">
            <v>0</v>
          </cell>
          <cell r="Y18">
            <v>0</v>
          </cell>
          <cell r="AA18">
            <v>0</v>
          </cell>
          <cell r="AC18">
            <v>0</v>
          </cell>
          <cell r="AE18">
            <v>10661926</v>
          </cell>
          <cell r="AI18">
            <v>107847.66</v>
          </cell>
          <cell r="AK18">
            <v>2049105.45</v>
          </cell>
          <cell r="BA18">
            <v>3213864.75</v>
          </cell>
          <cell r="BC18">
            <v>0</v>
          </cell>
        </row>
        <row r="19">
          <cell r="K19">
            <v>6952630</v>
          </cell>
          <cell r="Q19">
            <v>0</v>
          </cell>
          <cell r="S19">
            <v>5759637.5899999999</v>
          </cell>
          <cell r="Y19">
            <v>0</v>
          </cell>
          <cell r="AA19">
            <v>0</v>
          </cell>
          <cell r="AC19">
            <v>0</v>
          </cell>
          <cell r="AE19">
            <v>616390</v>
          </cell>
          <cell r="AG19">
            <v>23482111.780000001</v>
          </cell>
          <cell r="AI19">
            <v>53923.83</v>
          </cell>
          <cell r="AK19">
            <v>1024552.7300000001</v>
          </cell>
          <cell r="AS19">
            <v>10789701.5</v>
          </cell>
          <cell r="BA19">
            <v>2946364.8</v>
          </cell>
          <cell r="BC19">
            <v>2406755.21</v>
          </cell>
        </row>
        <row r="20">
          <cell r="K20">
            <v>18735508</v>
          </cell>
          <cell r="Q20">
            <v>0</v>
          </cell>
          <cell r="S20">
            <v>12661433</v>
          </cell>
          <cell r="U20">
            <v>10150000</v>
          </cell>
          <cell r="AA20">
            <v>18919600</v>
          </cell>
          <cell r="AC20">
            <v>18919600</v>
          </cell>
          <cell r="AE20">
            <v>14792742.51</v>
          </cell>
          <cell r="AG20">
            <v>43071365.040000007</v>
          </cell>
          <cell r="AI20">
            <v>134809.57</v>
          </cell>
          <cell r="AK20">
            <v>2561381.8199999998</v>
          </cell>
          <cell r="AS20">
            <v>6813576</v>
          </cell>
          <cell r="BA20">
            <v>3465649.2600000002</v>
          </cell>
          <cell r="BC20">
            <v>4105288.3499999996</v>
          </cell>
        </row>
        <row r="21">
          <cell r="G21">
            <v>11051802</v>
          </cell>
          <cell r="K21">
            <v>10685094</v>
          </cell>
          <cell r="Q21">
            <v>0</v>
          </cell>
          <cell r="S21">
            <v>1212926</v>
          </cell>
          <cell r="Y21">
            <v>6136480</v>
          </cell>
          <cell r="AA21">
            <v>0</v>
          </cell>
          <cell r="AC21">
            <v>0</v>
          </cell>
          <cell r="AE21">
            <v>4498644</v>
          </cell>
          <cell r="AI21">
            <v>67404.78</v>
          </cell>
          <cell r="AK21">
            <v>1280690.9099999999</v>
          </cell>
          <cell r="AS21">
            <v>1700000</v>
          </cell>
          <cell r="BA21">
            <v>2135209.46</v>
          </cell>
          <cell r="BC21">
            <v>2773750.37</v>
          </cell>
        </row>
        <row r="22">
          <cell r="G22">
            <v>13660680</v>
          </cell>
          <cell r="K22">
            <v>23565756</v>
          </cell>
          <cell r="Q22">
            <v>0</v>
          </cell>
          <cell r="S22">
            <v>831546.72000000009</v>
          </cell>
          <cell r="Y22">
            <v>0</v>
          </cell>
          <cell r="AA22">
            <v>0</v>
          </cell>
          <cell r="AC22">
            <v>0</v>
          </cell>
          <cell r="AE22">
            <v>0</v>
          </cell>
          <cell r="AG22">
            <v>31068513.449999999</v>
          </cell>
          <cell r="AI22">
            <v>161771.49</v>
          </cell>
          <cell r="AK22">
            <v>3073658.1799999997</v>
          </cell>
          <cell r="BA22">
            <v>3027971.71</v>
          </cell>
          <cell r="BC22">
            <v>6864373.0800000001</v>
          </cell>
        </row>
        <row r="23">
          <cell r="K23">
            <v>10758280</v>
          </cell>
          <cell r="Q23">
            <v>0</v>
          </cell>
          <cell r="S23">
            <v>0</v>
          </cell>
          <cell r="Y23">
            <v>0</v>
          </cell>
          <cell r="AA23">
            <v>0</v>
          </cell>
          <cell r="AC23">
            <v>0</v>
          </cell>
          <cell r="AE23">
            <v>46926725</v>
          </cell>
          <cell r="AI23">
            <v>67404.78</v>
          </cell>
          <cell r="AK23">
            <v>1280690.9099999999</v>
          </cell>
          <cell r="AQ23">
            <v>3521500</v>
          </cell>
          <cell r="BA23">
            <v>2625703.2000000002</v>
          </cell>
          <cell r="BC23">
            <v>0</v>
          </cell>
        </row>
        <row r="24">
          <cell r="G24">
            <v>21826031.32</v>
          </cell>
          <cell r="K24">
            <v>12612591</v>
          </cell>
          <cell r="Q24">
            <v>0</v>
          </cell>
          <cell r="S24">
            <v>1438932.79</v>
          </cell>
          <cell r="Y24">
            <v>19937960</v>
          </cell>
          <cell r="AA24">
            <v>0</v>
          </cell>
          <cell r="AC24">
            <v>0</v>
          </cell>
          <cell r="AE24">
            <v>0</v>
          </cell>
          <cell r="AI24">
            <v>94366.7</v>
          </cell>
          <cell r="AK24">
            <v>1792967.27</v>
          </cell>
          <cell r="AS24">
            <v>2037837.3699999999</v>
          </cell>
          <cell r="BA24">
            <v>2940071.23</v>
          </cell>
          <cell r="BC24">
            <v>4213520.41</v>
          </cell>
        </row>
        <row r="25">
          <cell r="G25">
            <v>37341491.079999998</v>
          </cell>
          <cell r="K25">
            <v>19833291</v>
          </cell>
          <cell r="M25">
            <v>3300309.39</v>
          </cell>
          <cell r="Q25">
            <v>0</v>
          </cell>
          <cell r="S25">
            <v>23826334.740000002</v>
          </cell>
          <cell r="U25">
            <v>2148904</v>
          </cell>
          <cell r="Y25">
            <v>9476000</v>
          </cell>
          <cell r="AA25">
            <v>4738000</v>
          </cell>
          <cell r="AC25">
            <v>4738000</v>
          </cell>
          <cell r="AE25">
            <v>2770413.39</v>
          </cell>
          <cell r="AG25">
            <v>35196619.5</v>
          </cell>
          <cell r="AI25">
            <v>161771.49</v>
          </cell>
          <cell r="AK25">
            <v>3073658.1799999997</v>
          </cell>
          <cell r="BA25">
            <v>3227878.4000000004</v>
          </cell>
          <cell r="BC25">
            <v>6118541.8600000003</v>
          </cell>
          <cell r="BE25">
            <v>422633.14</v>
          </cell>
        </row>
        <row r="26">
          <cell r="G26">
            <v>71961868.789999992</v>
          </cell>
          <cell r="K26">
            <v>10870941</v>
          </cell>
          <cell r="Q26">
            <v>0</v>
          </cell>
          <cell r="S26">
            <v>0</v>
          </cell>
          <cell r="Y26">
            <v>7157500</v>
          </cell>
          <cell r="AA26">
            <v>0</v>
          </cell>
          <cell r="AC26">
            <v>0</v>
          </cell>
          <cell r="AE26">
            <v>0</v>
          </cell>
          <cell r="AI26">
            <v>67404.78</v>
          </cell>
          <cell r="AK26">
            <v>1280690.9099999999</v>
          </cell>
          <cell r="BA26">
            <v>2846421.5</v>
          </cell>
          <cell r="BC26">
            <v>3778386.3200000003</v>
          </cell>
        </row>
        <row r="27">
          <cell r="G27">
            <v>59306016</v>
          </cell>
          <cell r="K27">
            <v>16832683</v>
          </cell>
          <cell r="Q27">
            <v>0</v>
          </cell>
          <cell r="S27">
            <v>524704.99999999988</v>
          </cell>
          <cell r="Y27">
            <v>12072900</v>
          </cell>
          <cell r="AA27">
            <v>0</v>
          </cell>
          <cell r="AC27">
            <v>0</v>
          </cell>
          <cell r="AE27">
            <v>4548716</v>
          </cell>
          <cell r="AI27">
            <v>121328.61</v>
          </cell>
          <cell r="AK27">
            <v>2305243.64</v>
          </cell>
          <cell r="AS27">
            <v>3425636.5300000003</v>
          </cell>
          <cell r="BA27">
            <v>3288377.8</v>
          </cell>
          <cell r="BC27">
            <v>5460960.1599999992</v>
          </cell>
        </row>
        <row r="30">
          <cell r="E30">
            <v>335640263.04000002</v>
          </cell>
          <cell r="G30">
            <v>29584308</v>
          </cell>
          <cell r="K30">
            <v>32352960</v>
          </cell>
          <cell r="AE30">
            <v>28808010</v>
          </cell>
          <cell r="AI30">
            <v>161771.49</v>
          </cell>
          <cell r="AK30">
            <v>3073658.1799999997</v>
          </cell>
          <cell r="AM30">
            <v>4800739.34</v>
          </cell>
          <cell r="AO30">
            <v>91214000.659999996</v>
          </cell>
          <cell r="BA30">
            <v>7062103.370000001</v>
          </cell>
        </row>
        <row r="31">
          <cell r="G31">
            <v>94050180</v>
          </cell>
          <cell r="K31">
            <v>184772331</v>
          </cell>
          <cell r="W31">
            <v>355374797.69</v>
          </cell>
          <cell r="AE31">
            <v>66966226.409999996</v>
          </cell>
          <cell r="AI31">
            <v>876799.04</v>
          </cell>
          <cell r="AK31">
            <v>16659181.820000002</v>
          </cell>
          <cell r="BA31">
            <v>8177481.6699999999</v>
          </cell>
        </row>
        <row r="35">
          <cell r="B35">
            <v>3058557091.5199995</v>
          </cell>
        </row>
        <row r="37">
          <cell r="B37">
            <v>321178.11895000003</v>
          </cell>
        </row>
        <row r="39">
          <cell r="B39">
            <v>4200546793.8699999</v>
          </cell>
        </row>
        <row r="45">
          <cell r="B45">
            <v>820811583.39999998</v>
          </cell>
          <cell r="C45">
            <v>725363645.64999998</v>
          </cell>
        </row>
      </sheetData>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4">
          <cell r="D4" t="str">
            <v>ПО  СОСТОЯНИЮ  НА  1  ИЮЛЯ  2024  ГОДА</v>
          </cell>
        </row>
      </sheetData>
      <sheetData sheetId="89" refreshError="1"/>
      <sheetData sheetId="90">
        <row r="9">
          <cell r="D9">
            <v>158903877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январе"/>
      <sheetName val="Уточнения  по  МБТ  в  марте"/>
      <sheetName val="Уточнения  по  МБТ  в  мае"/>
      <sheetName val="Уточнения  по  МБТ  в  июне"/>
      <sheetName val="Уточнения  по  МБТ  в  ________"/>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7">
          <cell r="B37">
            <v>7740447.6308399998</v>
          </cell>
          <cell r="E37">
            <v>3220096.3643299998</v>
          </cell>
        </row>
        <row r="46">
          <cell r="B46">
            <v>7740447.6308399998</v>
          </cell>
          <cell r="E46">
            <v>3220096.3643299998</v>
          </cell>
        </row>
        <row r="47">
          <cell r="B47">
            <v>0</v>
          </cell>
          <cell r="E47">
            <v>0</v>
          </cell>
        </row>
      </sheetData>
      <sheetData sheetId="1">
        <row r="38">
          <cell r="B38">
            <v>15105033.89367</v>
          </cell>
          <cell r="C38">
            <v>4780298.7806099998</v>
          </cell>
        </row>
        <row r="47">
          <cell r="B47">
            <v>6490118.2511499999</v>
          </cell>
          <cell r="C47">
            <v>2726963.4446799997</v>
          </cell>
        </row>
        <row r="50">
          <cell r="B50">
            <v>15105033.89367</v>
          </cell>
          <cell r="C50">
            <v>4780298.7806099998</v>
          </cell>
        </row>
      </sheetData>
      <sheetData sheetId="2">
        <row r="38">
          <cell r="B38">
            <v>16481127.17701</v>
          </cell>
          <cell r="G38">
            <v>9430506.9135100003</v>
          </cell>
        </row>
        <row r="47">
          <cell r="B47">
            <v>495263.4</v>
          </cell>
          <cell r="G47">
            <v>267948.51695999998</v>
          </cell>
        </row>
        <row r="50">
          <cell r="B50">
            <v>16420610.012970001</v>
          </cell>
          <cell r="G50">
            <v>9407770.4782600012</v>
          </cell>
        </row>
        <row r="51">
          <cell r="B51">
            <v>60517.164039999996</v>
          </cell>
          <cell r="G51">
            <v>22736.435249999999</v>
          </cell>
        </row>
      </sheetData>
      <sheetData sheetId="3">
        <row r="36">
          <cell r="B36">
            <v>3058557.0915200002</v>
          </cell>
          <cell r="G36">
            <v>1007665.4568000002</v>
          </cell>
        </row>
        <row r="45">
          <cell r="B45">
            <v>631293.60065999988</v>
          </cell>
          <cell r="G45">
            <v>442567.43672000006</v>
          </cell>
        </row>
        <row r="48">
          <cell r="B48">
            <v>2927148.5081700003</v>
          </cell>
          <cell r="G48">
            <v>976259.23679000011</v>
          </cell>
        </row>
        <row r="49">
          <cell r="B49">
            <v>131408.58335</v>
          </cell>
          <cell r="G49">
            <v>31406.220010000008</v>
          </cell>
        </row>
      </sheetData>
      <sheetData sheetId="4">
        <row r="33">
          <cell r="B33">
            <v>42385165.793039992</v>
          </cell>
          <cell r="E33">
            <v>18438567.515249997</v>
          </cell>
        </row>
      </sheetData>
      <sheetData sheetId="5"/>
      <sheetData sheetId="6"/>
      <sheetData sheetId="7"/>
      <sheetData sheetId="8"/>
      <sheetData sheetId="9"/>
      <sheetData sheetId="10">
        <row r="10">
          <cell r="E10">
            <v>0</v>
          </cell>
        </row>
      </sheetData>
      <sheetData sheetId="11">
        <row r="10">
          <cell r="D10">
            <v>11912.998240000001</v>
          </cell>
        </row>
      </sheetData>
      <sheetData sheetId="12"/>
      <sheetData sheetId="13"/>
      <sheetData sheetId="14"/>
      <sheetData sheetId="15"/>
      <sheetData sheetId="16">
        <row r="13">
          <cell r="N13">
            <v>76.5</v>
          </cell>
        </row>
      </sheetData>
      <sheetData sheetId="17"/>
      <sheetData sheetId="1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workbookViewId="0">
      <pane xSplit="3" ySplit="5" topLeftCell="D6" activePane="bottomRight" state="frozen"/>
      <selection pane="topRight" activeCell="D1" sqref="D1"/>
      <selection pane="bottomLeft" activeCell="A6" sqref="A6"/>
      <selection pane="bottomRight" activeCell="A3" sqref="A3:A5"/>
    </sheetView>
  </sheetViews>
  <sheetFormatPr defaultRowHeight="15" x14ac:dyDescent="0.25"/>
  <cols>
    <col min="1" max="1" width="19.7109375" customWidth="1"/>
    <col min="2" max="2" width="18" customWidth="1"/>
    <col min="3" max="3" width="18.85546875" customWidth="1"/>
    <col min="4" max="4" width="14.42578125" customWidth="1"/>
    <col min="5" max="5" width="18.140625" customWidth="1"/>
    <col min="6" max="6" width="17.140625" customWidth="1"/>
    <col min="7" max="7" width="14.85546875" customWidth="1"/>
    <col min="8" max="8" width="18.140625" customWidth="1"/>
    <col min="9" max="9" width="17.42578125" customWidth="1"/>
    <col min="10" max="10" width="14" customWidth="1"/>
    <col min="11" max="12" width="18.140625" customWidth="1"/>
    <col min="13" max="13" width="14.28515625" customWidth="1"/>
    <col min="14" max="15" width="19.42578125" customWidth="1"/>
    <col min="16" max="16" width="14.140625" customWidth="1"/>
  </cols>
  <sheetData>
    <row r="1" spans="1:16" ht="25.5" customHeight="1" x14ac:dyDescent="0.25">
      <c r="A1" s="1821" t="s">
        <v>1376</v>
      </c>
      <c r="B1" s="1821"/>
      <c r="C1" s="1821"/>
      <c r="D1" s="1821"/>
      <c r="E1" s="1821"/>
      <c r="F1" s="1821"/>
      <c r="G1" s="1821"/>
      <c r="H1" s="1821"/>
      <c r="I1" s="1821"/>
      <c r="J1" s="1821"/>
      <c r="K1" s="1821"/>
      <c r="L1" s="1821"/>
      <c r="M1" s="1821"/>
      <c r="N1" s="1821"/>
      <c r="O1" s="1821"/>
      <c r="P1" s="1821"/>
    </row>
    <row r="2" spans="1:16" ht="12" customHeight="1" x14ac:dyDescent="0.25">
      <c r="A2" s="1822"/>
      <c r="B2" s="1822"/>
      <c r="C2" s="1822"/>
      <c r="D2" s="1825"/>
      <c r="E2" s="1822"/>
      <c r="F2" s="1822"/>
      <c r="G2" s="1826"/>
      <c r="H2" s="1822"/>
      <c r="I2" s="1822"/>
      <c r="J2" s="1826"/>
      <c r="K2" s="1822"/>
      <c r="L2" s="1822"/>
      <c r="M2" s="1827"/>
      <c r="N2" s="1822"/>
      <c r="O2" s="1822"/>
      <c r="P2" s="1828" t="s">
        <v>356</v>
      </c>
    </row>
    <row r="3" spans="1:16" ht="15" customHeight="1" x14ac:dyDescent="0.25">
      <c r="A3" s="1829" t="s">
        <v>1366</v>
      </c>
      <c r="B3" s="1829" t="s">
        <v>1372</v>
      </c>
      <c r="C3" s="1829" t="s">
        <v>664</v>
      </c>
      <c r="D3" s="1830" t="s">
        <v>1373</v>
      </c>
      <c r="E3" s="1831" t="s">
        <v>376</v>
      </c>
      <c r="F3" s="1831"/>
      <c r="G3" s="1831"/>
      <c r="H3" s="1831"/>
      <c r="I3" s="1831"/>
      <c r="J3" s="1831"/>
      <c r="K3" s="1831"/>
      <c r="L3" s="1831"/>
      <c r="M3" s="1831"/>
      <c r="N3" s="1831"/>
      <c r="O3" s="1831"/>
      <c r="P3" s="1831"/>
    </row>
    <row r="4" spans="1:16" ht="15.75" x14ac:dyDescent="0.25">
      <c r="A4" s="1829"/>
      <c r="B4" s="1829"/>
      <c r="C4" s="1829"/>
      <c r="D4" s="1832"/>
      <c r="E4" s="1833" t="s">
        <v>818</v>
      </c>
      <c r="F4" s="1834"/>
      <c r="G4" s="1835"/>
      <c r="H4" s="1833" t="s">
        <v>819</v>
      </c>
      <c r="I4" s="1834"/>
      <c r="J4" s="1835"/>
      <c r="K4" s="1833" t="s">
        <v>820</v>
      </c>
      <c r="L4" s="1834"/>
      <c r="M4" s="1835"/>
      <c r="N4" s="1833" t="s">
        <v>821</v>
      </c>
      <c r="O4" s="1834"/>
      <c r="P4" s="1835"/>
    </row>
    <row r="5" spans="1:16" ht="47.25" x14ac:dyDescent="0.25">
      <c r="A5" s="1829"/>
      <c r="B5" s="1829"/>
      <c r="C5" s="1829"/>
      <c r="D5" s="1836"/>
      <c r="E5" s="1837" t="s">
        <v>1374</v>
      </c>
      <c r="F5" s="1837" t="s">
        <v>664</v>
      </c>
      <c r="G5" s="1838" t="s">
        <v>1373</v>
      </c>
      <c r="H5" s="1837" t="s">
        <v>1374</v>
      </c>
      <c r="I5" s="1837" t="s">
        <v>664</v>
      </c>
      <c r="J5" s="1838" t="s">
        <v>1373</v>
      </c>
      <c r="K5" s="1837" t="s">
        <v>1374</v>
      </c>
      <c r="L5" s="1837" t="s">
        <v>664</v>
      </c>
      <c r="M5" s="1838" t="s">
        <v>1373</v>
      </c>
      <c r="N5" s="1837" t="s">
        <v>1374</v>
      </c>
      <c r="O5" s="1837" t="s">
        <v>664</v>
      </c>
      <c r="P5" s="1838" t="s">
        <v>1373</v>
      </c>
    </row>
    <row r="6" spans="1:16" ht="15.75" x14ac:dyDescent="0.25">
      <c r="A6" s="1839" t="s">
        <v>318</v>
      </c>
      <c r="B6" s="1840">
        <v>510087201.12</v>
      </c>
      <c r="C6" s="1841">
        <v>214545049.62</v>
      </c>
      <c r="D6" s="1842">
        <f>C6/B6%</f>
        <v>42.060465181036264</v>
      </c>
      <c r="E6" s="1843">
        <v>158903877</v>
      </c>
      <c r="F6" s="1843">
        <v>79920000</v>
      </c>
      <c r="G6" s="1844">
        <f>F6/E6%</f>
        <v>50.294556375109714</v>
      </c>
      <c r="H6" s="1843">
        <v>112144625.84</v>
      </c>
      <c r="I6" s="1843">
        <v>13701716.34</v>
      </c>
      <c r="J6" s="1844">
        <f>I6/H6%</f>
        <v>12.217898305308573</v>
      </c>
      <c r="K6" s="1843">
        <v>189713666.41999999</v>
      </c>
      <c r="L6" s="1843">
        <v>103142541.29000001</v>
      </c>
      <c r="M6" s="1844">
        <f>L6/K6%</f>
        <v>54.36748086543043</v>
      </c>
      <c r="N6" s="1843">
        <v>49325031.859999999</v>
      </c>
      <c r="O6" s="1843">
        <v>17780791.989999998</v>
      </c>
      <c r="P6" s="1844">
        <f>O6/N6%</f>
        <v>36.048211870328835</v>
      </c>
    </row>
    <row r="7" spans="1:16" ht="15.75" x14ac:dyDescent="0.25">
      <c r="A7" s="1845" t="s">
        <v>319</v>
      </c>
      <c r="B7" s="1846">
        <v>1995495970.0899999</v>
      </c>
      <c r="C7" s="1847">
        <v>994538910.57000005</v>
      </c>
      <c r="D7" s="1842">
        <f>C7/B7%</f>
        <v>49.839184116475302</v>
      </c>
      <c r="E7" s="1848">
        <v>198134707.40000001</v>
      </c>
      <c r="F7" s="1848">
        <v>101480726.5</v>
      </c>
      <c r="G7" s="1849">
        <f t="shared" ref="G7:G30" si="0">F7/E7%</f>
        <v>51.218046465290819</v>
      </c>
      <c r="H7" s="1848">
        <v>601977769.33000004</v>
      </c>
      <c r="I7" s="1848">
        <v>224819182.65000001</v>
      </c>
      <c r="J7" s="1849">
        <f t="shared" ref="J7:J30" si="1">I7/H7%</f>
        <v>37.346758319700619</v>
      </c>
      <c r="K7" s="1848">
        <v>979948284.75</v>
      </c>
      <c r="L7" s="1848">
        <v>599185649.61000001</v>
      </c>
      <c r="M7" s="1849">
        <f t="shared" ref="M7:M30" si="2">L7/K7%</f>
        <v>61.144619459470917</v>
      </c>
      <c r="N7" s="1848">
        <v>215435208.61000001</v>
      </c>
      <c r="O7" s="1848">
        <v>69053351.810000002</v>
      </c>
      <c r="P7" s="1849">
        <f t="shared" ref="P7:P30" si="3">O7/N7%</f>
        <v>32.052955622034155</v>
      </c>
    </row>
    <row r="8" spans="1:16" ht="15.75" x14ac:dyDescent="0.25">
      <c r="A8" s="1845" t="s">
        <v>320</v>
      </c>
      <c r="B8" s="1846">
        <v>1313977018.28</v>
      </c>
      <c r="C8" s="1847">
        <v>548740143.17999995</v>
      </c>
      <c r="D8" s="1842">
        <f>C8/B8%</f>
        <v>41.761776313127797</v>
      </c>
      <c r="E8" s="1848">
        <v>231449694.09</v>
      </c>
      <c r="F8" s="1848">
        <v>86023342</v>
      </c>
      <c r="G8" s="1849">
        <f t="shared" si="0"/>
        <v>37.167187599111507</v>
      </c>
      <c r="H8" s="1848">
        <v>383859823.86000001</v>
      </c>
      <c r="I8" s="1848">
        <v>174082559.38</v>
      </c>
      <c r="J8" s="1849">
        <f t="shared" si="1"/>
        <v>45.35055469714662</v>
      </c>
      <c r="K8" s="1848">
        <v>474858646.92000002</v>
      </c>
      <c r="L8" s="1848">
        <v>248140078.00999999</v>
      </c>
      <c r="M8" s="1849">
        <f t="shared" si="2"/>
        <v>52.255566918591761</v>
      </c>
      <c r="N8" s="1848">
        <v>223808853.41</v>
      </c>
      <c r="O8" s="1848">
        <v>40494163.789999999</v>
      </c>
      <c r="P8" s="1849">
        <f t="shared" si="3"/>
        <v>18.093191208936634</v>
      </c>
    </row>
    <row r="9" spans="1:16" ht="15.75" x14ac:dyDescent="0.25">
      <c r="A9" s="1845" t="s">
        <v>321</v>
      </c>
      <c r="B9" s="1846">
        <v>1023323531.13</v>
      </c>
      <c r="C9" s="1847">
        <v>350987725.00999999</v>
      </c>
      <c r="D9" s="1842">
        <f>C9/B9%</f>
        <v>34.29880329463581</v>
      </c>
      <c r="E9" s="1848">
        <v>197510134.72999999</v>
      </c>
      <c r="F9" s="1848">
        <v>49169092.380000003</v>
      </c>
      <c r="G9" s="1849">
        <f t="shared" si="0"/>
        <v>24.894465515511428</v>
      </c>
      <c r="H9" s="1848">
        <v>312429452.94999999</v>
      </c>
      <c r="I9" s="1848">
        <v>39732707.020000003</v>
      </c>
      <c r="J9" s="1849">
        <f t="shared" si="1"/>
        <v>12.717337192392893</v>
      </c>
      <c r="K9" s="1848">
        <v>438055717.56999999</v>
      </c>
      <c r="L9" s="1848">
        <v>246117888.25999999</v>
      </c>
      <c r="M9" s="1849">
        <f t="shared" si="2"/>
        <v>56.184151556170733</v>
      </c>
      <c r="N9" s="1848">
        <v>75328225.879999995</v>
      </c>
      <c r="O9" s="1848">
        <v>15968037.35</v>
      </c>
      <c r="P9" s="1849">
        <f t="shared" si="3"/>
        <v>21.197946936169103</v>
      </c>
    </row>
    <row r="10" spans="1:16" ht="15.75" x14ac:dyDescent="0.25">
      <c r="A10" s="1839" t="s">
        <v>322</v>
      </c>
      <c r="B10" s="1840">
        <v>2049403568.6099999</v>
      </c>
      <c r="C10" s="1841">
        <v>772221927.51999998</v>
      </c>
      <c r="D10" s="1842">
        <f>C10/B10%</f>
        <v>37.68032511252806</v>
      </c>
      <c r="E10" s="1843">
        <v>277568979</v>
      </c>
      <c r="F10" s="1843">
        <v>105770000</v>
      </c>
      <c r="G10" s="1844">
        <f t="shared" si="0"/>
        <v>38.105843232575353</v>
      </c>
      <c r="H10" s="1843">
        <v>1170097038.3800001</v>
      </c>
      <c r="I10" s="1843">
        <v>372166939.45999998</v>
      </c>
      <c r="J10" s="1844">
        <f t="shared" si="1"/>
        <v>31.806502132102246</v>
      </c>
      <c r="K10" s="1843">
        <v>489031214.16000003</v>
      </c>
      <c r="L10" s="1843">
        <v>261336011.19</v>
      </c>
      <c r="M10" s="1844">
        <f t="shared" si="2"/>
        <v>53.439535887068487</v>
      </c>
      <c r="N10" s="1843">
        <v>112706367.06999999</v>
      </c>
      <c r="O10" s="1843">
        <v>32948976.870000001</v>
      </c>
      <c r="P10" s="1844">
        <f t="shared" si="3"/>
        <v>29.234352704790812</v>
      </c>
    </row>
    <row r="11" spans="1:16" ht="15.75" x14ac:dyDescent="0.25">
      <c r="A11" s="1845" t="s">
        <v>323</v>
      </c>
      <c r="B11" s="1846">
        <v>636131642.25999999</v>
      </c>
      <c r="C11" s="1847">
        <v>263175525.05000001</v>
      </c>
      <c r="D11" s="1842">
        <f>C11/B11%</f>
        <v>41.371236323822856</v>
      </c>
      <c r="E11" s="1848">
        <v>70954135.349999994</v>
      </c>
      <c r="F11" s="1848">
        <v>35943860</v>
      </c>
      <c r="G11" s="1849">
        <f t="shared" si="0"/>
        <v>50.657878956169959</v>
      </c>
      <c r="H11" s="1848">
        <v>198183755.93000001</v>
      </c>
      <c r="I11" s="1848">
        <v>33572481.020000003</v>
      </c>
      <c r="J11" s="1849">
        <f t="shared" si="1"/>
        <v>16.940077082734295</v>
      </c>
      <c r="K11" s="1848">
        <v>289200218.29000002</v>
      </c>
      <c r="L11" s="1848">
        <v>168819382.69</v>
      </c>
      <c r="M11" s="1849">
        <f t="shared" si="2"/>
        <v>58.374569593413561</v>
      </c>
      <c r="N11" s="1848">
        <v>77793532.689999998</v>
      </c>
      <c r="O11" s="1848">
        <v>24839801.34</v>
      </c>
      <c r="P11" s="1849">
        <f t="shared" si="3"/>
        <v>31.930419510557904</v>
      </c>
    </row>
    <row r="12" spans="1:16" ht="15.75" x14ac:dyDescent="0.25">
      <c r="A12" s="1845" t="s">
        <v>324</v>
      </c>
      <c r="B12" s="1846">
        <v>728404415.42999995</v>
      </c>
      <c r="C12" s="1847">
        <v>353206062.63999999</v>
      </c>
      <c r="D12" s="1842">
        <f>C12/B12%</f>
        <v>48.490379129771114</v>
      </c>
      <c r="E12" s="1848">
        <v>101798448.20999999</v>
      </c>
      <c r="F12" s="1848">
        <v>53188938</v>
      </c>
      <c r="G12" s="1849">
        <f t="shared" si="0"/>
        <v>52.249262081359582</v>
      </c>
      <c r="H12" s="1848">
        <v>54867405.659999996</v>
      </c>
      <c r="I12" s="1848">
        <v>10179644.779999999</v>
      </c>
      <c r="J12" s="1849">
        <f t="shared" si="1"/>
        <v>18.553173159089731</v>
      </c>
      <c r="K12" s="1848">
        <v>491623883.75</v>
      </c>
      <c r="L12" s="1848">
        <v>263501013.53</v>
      </c>
      <c r="M12" s="1849">
        <f t="shared" si="2"/>
        <v>53.598090377560908</v>
      </c>
      <c r="N12" s="1848">
        <v>80114677.810000002</v>
      </c>
      <c r="O12" s="1848">
        <v>26336466.329999998</v>
      </c>
      <c r="P12" s="1849">
        <f t="shared" si="3"/>
        <v>32.873459707919658</v>
      </c>
    </row>
    <row r="13" spans="1:16" ht="15.75" x14ac:dyDescent="0.25">
      <c r="A13" s="1845" t="s">
        <v>325</v>
      </c>
      <c r="B13" s="1846">
        <v>1352607412.3</v>
      </c>
      <c r="C13" s="1847">
        <v>479153892.22000003</v>
      </c>
      <c r="D13" s="1842">
        <f>C13/B13%</f>
        <v>35.424461515055384</v>
      </c>
      <c r="E13" s="1848">
        <v>212486919.19</v>
      </c>
      <c r="F13" s="1848">
        <v>116243448</v>
      </c>
      <c r="G13" s="1849">
        <f t="shared" si="0"/>
        <v>54.706166592804841</v>
      </c>
      <c r="H13" s="1848">
        <v>624261707.88</v>
      </c>
      <c r="I13" s="1848">
        <v>96418585.890000001</v>
      </c>
      <c r="J13" s="1849">
        <f t="shared" si="1"/>
        <v>15.445218675583776</v>
      </c>
      <c r="K13" s="1848">
        <v>396380744.69999999</v>
      </c>
      <c r="L13" s="1848">
        <v>228732690.16</v>
      </c>
      <c r="M13" s="1849">
        <f t="shared" si="2"/>
        <v>57.705298054555072</v>
      </c>
      <c r="N13" s="1848">
        <v>119478040.53</v>
      </c>
      <c r="O13" s="1848">
        <v>37759168.170000002</v>
      </c>
      <c r="P13" s="1849">
        <f t="shared" si="3"/>
        <v>31.603437755173907</v>
      </c>
    </row>
    <row r="14" spans="1:16" ht="15.75" x14ac:dyDescent="0.25">
      <c r="A14" s="1839" t="s">
        <v>326</v>
      </c>
      <c r="B14" s="1840">
        <v>806529789.08000004</v>
      </c>
      <c r="C14" s="1841">
        <v>322343748.57999998</v>
      </c>
      <c r="D14" s="1842">
        <f>C14/B14%</f>
        <v>39.966750508706454</v>
      </c>
      <c r="E14" s="1843">
        <v>185528920</v>
      </c>
      <c r="F14" s="1843">
        <v>92760000</v>
      </c>
      <c r="G14" s="1844">
        <f t="shared" si="0"/>
        <v>49.997596062112585</v>
      </c>
      <c r="H14" s="1843">
        <v>291858806.05000001</v>
      </c>
      <c r="I14" s="1843">
        <v>69756983.450000003</v>
      </c>
      <c r="J14" s="1844">
        <f t="shared" si="1"/>
        <v>23.900934974033142</v>
      </c>
      <c r="K14" s="1843">
        <v>274228085.26999998</v>
      </c>
      <c r="L14" s="1843">
        <v>147564936.13999999</v>
      </c>
      <c r="M14" s="1844">
        <f t="shared" si="2"/>
        <v>53.81102230820386</v>
      </c>
      <c r="N14" s="1843">
        <v>54913977.759999998</v>
      </c>
      <c r="O14" s="1843">
        <v>12261828.99</v>
      </c>
      <c r="P14" s="1844">
        <f t="shared" si="3"/>
        <v>22.329158240166063</v>
      </c>
    </row>
    <row r="15" spans="1:16" ht="15.75" x14ac:dyDescent="0.25">
      <c r="A15" s="1845" t="s">
        <v>327</v>
      </c>
      <c r="B15" s="1846">
        <v>440268093.55000001</v>
      </c>
      <c r="C15" s="1847">
        <v>181387808.91999999</v>
      </c>
      <c r="D15" s="1842">
        <f>C15/B15%</f>
        <v>41.199399088273992</v>
      </c>
      <c r="E15" s="1848">
        <v>51920207.189999998</v>
      </c>
      <c r="F15" s="1848">
        <v>25338540</v>
      </c>
      <c r="G15" s="1849">
        <f t="shared" si="0"/>
        <v>48.802848392485394</v>
      </c>
      <c r="H15" s="1848">
        <v>87240968.280000001</v>
      </c>
      <c r="I15" s="1848">
        <v>11045152.68</v>
      </c>
      <c r="J15" s="1849">
        <f t="shared" si="1"/>
        <v>12.660511337460822</v>
      </c>
      <c r="K15" s="1848">
        <v>247074850.63999999</v>
      </c>
      <c r="L15" s="1848">
        <v>130533129.13</v>
      </c>
      <c r="M15" s="1849">
        <f t="shared" si="2"/>
        <v>52.831410721034125</v>
      </c>
      <c r="N15" s="1848">
        <v>54032067.439999998</v>
      </c>
      <c r="O15" s="1848">
        <v>14470987.109999999</v>
      </c>
      <c r="P15" s="1849">
        <f t="shared" si="3"/>
        <v>26.782219884644118</v>
      </c>
    </row>
    <row r="16" spans="1:16" ht="15.75" x14ac:dyDescent="0.25">
      <c r="A16" s="1845" t="s">
        <v>328</v>
      </c>
      <c r="B16" s="1846">
        <v>2514564133.5599999</v>
      </c>
      <c r="C16" s="1847">
        <v>1098740389.0599999</v>
      </c>
      <c r="D16" s="1842">
        <f>C16/B16%</f>
        <v>43.695063267464</v>
      </c>
      <c r="E16" s="1848">
        <v>750010643.01999998</v>
      </c>
      <c r="F16" s="1848">
        <v>286721900</v>
      </c>
      <c r="G16" s="1849">
        <f t="shared" si="0"/>
        <v>38.22904417002443</v>
      </c>
      <c r="H16" s="1848">
        <v>1069433958</v>
      </c>
      <c r="I16" s="1848">
        <v>467777174.35000002</v>
      </c>
      <c r="J16" s="1849">
        <f t="shared" si="1"/>
        <v>43.740632214897374</v>
      </c>
      <c r="K16" s="1848">
        <v>569848178.99000001</v>
      </c>
      <c r="L16" s="1848">
        <v>298065632.83999997</v>
      </c>
      <c r="M16" s="1849">
        <f t="shared" si="2"/>
        <v>52.306148168849475</v>
      </c>
      <c r="N16" s="1848">
        <v>125261353.55</v>
      </c>
      <c r="O16" s="1848">
        <v>46175681.869999997</v>
      </c>
      <c r="P16" s="1849">
        <f t="shared" si="3"/>
        <v>36.863470305362988</v>
      </c>
    </row>
    <row r="17" spans="1:16" ht="15.75" x14ac:dyDescent="0.25">
      <c r="A17" s="1845" t="s">
        <v>329</v>
      </c>
      <c r="B17" s="1846">
        <v>558583368.13</v>
      </c>
      <c r="C17" s="1847">
        <v>270742172.23000002</v>
      </c>
      <c r="D17" s="1842">
        <f>C17/B17%</f>
        <v>48.469429574385352</v>
      </c>
      <c r="E17" s="1848">
        <v>92267241.819999993</v>
      </c>
      <c r="F17" s="1848">
        <v>47117938</v>
      </c>
      <c r="G17" s="1849">
        <f t="shared" si="0"/>
        <v>51.066811005275589</v>
      </c>
      <c r="H17" s="1848">
        <v>93951943.700000003</v>
      </c>
      <c r="I17" s="1848">
        <v>25060102.800000001</v>
      </c>
      <c r="J17" s="1849">
        <f t="shared" si="1"/>
        <v>26.673320224241408</v>
      </c>
      <c r="K17" s="1848">
        <v>330822181.08999997</v>
      </c>
      <c r="L17" s="1848">
        <v>182673816.15000001</v>
      </c>
      <c r="M17" s="1849">
        <f t="shared" si="2"/>
        <v>55.218128224692315</v>
      </c>
      <c r="N17" s="1848">
        <v>41542001.520000003</v>
      </c>
      <c r="O17" s="1848">
        <v>15890315.279999999</v>
      </c>
      <c r="P17" s="1849">
        <f t="shared" si="3"/>
        <v>38.251202875599908</v>
      </c>
    </row>
    <row r="18" spans="1:16" ht="15.75" x14ac:dyDescent="0.25">
      <c r="A18" s="1845" t="s">
        <v>330</v>
      </c>
      <c r="B18" s="1846">
        <v>1826394969.1099999</v>
      </c>
      <c r="C18" s="1847">
        <v>889728016.19000006</v>
      </c>
      <c r="D18" s="1842">
        <f>C18/B18%</f>
        <v>48.714983956814308</v>
      </c>
      <c r="E18" s="1848">
        <v>120674905.73</v>
      </c>
      <c r="F18" s="1848">
        <v>61228656</v>
      </c>
      <c r="G18" s="1849">
        <f t="shared" si="0"/>
        <v>50.738515708472143</v>
      </c>
      <c r="H18" s="1848">
        <v>724116182.53999996</v>
      </c>
      <c r="I18" s="1848">
        <v>156438737.15000001</v>
      </c>
      <c r="J18" s="1849">
        <f t="shared" si="1"/>
        <v>21.604093503511557</v>
      </c>
      <c r="K18" s="1848">
        <v>899349610.21000004</v>
      </c>
      <c r="L18" s="1848">
        <v>645197356.27999997</v>
      </c>
      <c r="M18" s="1849">
        <f t="shared" si="2"/>
        <v>71.740438752104993</v>
      </c>
      <c r="N18" s="1848">
        <v>82254270.629999995</v>
      </c>
      <c r="O18" s="1848">
        <v>26863266.760000002</v>
      </c>
      <c r="P18" s="1849">
        <f t="shared" si="3"/>
        <v>32.658810970238378</v>
      </c>
    </row>
    <row r="19" spans="1:16" ht="15.75" x14ac:dyDescent="0.25">
      <c r="A19" s="1839" t="s">
        <v>331</v>
      </c>
      <c r="B19" s="1840">
        <v>543227444.14999998</v>
      </c>
      <c r="C19" s="1841">
        <v>220571961.53</v>
      </c>
      <c r="D19" s="1842">
        <f>C19/B19%</f>
        <v>40.603979770413446</v>
      </c>
      <c r="E19" s="1843">
        <v>84197006</v>
      </c>
      <c r="F19" s="1843">
        <v>42852000</v>
      </c>
      <c r="G19" s="1844">
        <f t="shared" si="0"/>
        <v>50.894921370481981</v>
      </c>
      <c r="H19" s="1843">
        <v>109846056.95</v>
      </c>
      <c r="I19" s="1843">
        <v>18765175.489999998</v>
      </c>
      <c r="J19" s="1844">
        <f t="shared" si="1"/>
        <v>17.083158022268908</v>
      </c>
      <c r="K19" s="1843">
        <v>284004077.31</v>
      </c>
      <c r="L19" s="1843">
        <v>148350012.59999999</v>
      </c>
      <c r="M19" s="1844">
        <f t="shared" si="2"/>
        <v>52.235170003588003</v>
      </c>
      <c r="N19" s="1843">
        <v>65180303.890000001</v>
      </c>
      <c r="O19" s="1843">
        <v>10604773.439999999</v>
      </c>
      <c r="P19" s="1844">
        <f t="shared" si="3"/>
        <v>16.26990487478686</v>
      </c>
    </row>
    <row r="20" spans="1:16" ht="15.75" x14ac:dyDescent="0.25">
      <c r="A20" s="1845" t="s">
        <v>332</v>
      </c>
      <c r="B20" s="1846">
        <v>641835244.22000003</v>
      </c>
      <c r="C20" s="1847">
        <v>353312103.81999999</v>
      </c>
      <c r="D20" s="1842">
        <f>C20/B20%</f>
        <v>55.047164673757962</v>
      </c>
      <c r="E20" s="1848">
        <v>90115904.609999999</v>
      </c>
      <c r="F20" s="1848">
        <v>46746282</v>
      </c>
      <c r="G20" s="1849">
        <f t="shared" si="0"/>
        <v>51.873509123951742</v>
      </c>
      <c r="H20" s="1848">
        <v>92560842.230000004</v>
      </c>
      <c r="I20" s="1848">
        <v>19036340.449999999</v>
      </c>
      <c r="J20" s="1849">
        <f t="shared" si="1"/>
        <v>20.566299950790754</v>
      </c>
      <c r="K20" s="1848">
        <v>392264219.29000002</v>
      </c>
      <c r="L20" s="1848">
        <v>252706332.03999999</v>
      </c>
      <c r="M20" s="1849">
        <f t="shared" si="2"/>
        <v>64.422478424720865</v>
      </c>
      <c r="N20" s="1848">
        <v>66894278.009000003</v>
      </c>
      <c r="O20" s="1848">
        <v>34823149.329999998</v>
      </c>
      <c r="P20" s="1849">
        <f t="shared" si="3"/>
        <v>52.056992565664387</v>
      </c>
    </row>
    <row r="21" spans="1:16" ht="15.75" x14ac:dyDescent="0.25">
      <c r="A21" s="1845" t="s">
        <v>333</v>
      </c>
      <c r="B21" s="1846">
        <v>1461852399.79</v>
      </c>
      <c r="C21" s="1847">
        <v>755893181.32000005</v>
      </c>
      <c r="D21" s="1842">
        <f>C21/B21%</f>
        <v>51.707900293393962</v>
      </c>
      <c r="E21" s="1848">
        <v>274764215.66000003</v>
      </c>
      <c r="F21" s="1848">
        <v>129889335.81999999</v>
      </c>
      <c r="G21" s="1849">
        <f t="shared" si="0"/>
        <v>47.273017524497526</v>
      </c>
      <c r="H21" s="1848">
        <v>410756889.70999998</v>
      </c>
      <c r="I21" s="1848">
        <v>63472719.899999999</v>
      </c>
      <c r="J21" s="1849">
        <f t="shared" si="1"/>
        <v>15.45262453048873</v>
      </c>
      <c r="K21" s="1848">
        <v>627266985.38999999</v>
      </c>
      <c r="L21" s="1848">
        <v>507159229.92000002</v>
      </c>
      <c r="M21" s="1849">
        <f t="shared" si="2"/>
        <v>80.852211535519672</v>
      </c>
      <c r="N21" s="1848">
        <v>149064309.03</v>
      </c>
      <c r="O21" s="1848">
        <v>55371895.68</v>
      </c>
      <c r="P21" s="1849">
        <f t="shared" si="3"/>
        <v>37.146313587953578</v>
      </c>
    </row>
    <row r="22" spans="1:16" ht="15.75" x14ac:dyDescent="0.25">
      <c r="A22" s="1845" t="s">
        <v>334</v>
      </c>
      <c r="B22" s="1846">
        <v>817304293.33000004</v>
      </c>
      <c r="C22" s="1850">
        <v>411398424.43000001</v>
      </c>
      <c r="D22" s="1842">
        <f>C22/B22%</f>
        <v>50.33601655924388</v>
      </c>
      <c r="E22" s="1851">
        <v>323594165.05000001</v>
      </c>
      <c r="F22" s="1851">
        <v>157463040</v>
      </c>
      <c r="G22" s="1849">
        <f t="shared" si="0"/>
        <v>48.660654921163264</v>
      </c>
      <c r="H22" s="1851">
        <v>88803154.670000002</v>
      </c>
      <c r="I22" s="1851">
        <v>22255457.789999999</v>
      </c>
      <c r="J22" s="1849">
        <f t="shared" si="1"/>
        <v>25.061562140109945</v>
      </c>
      <c r="K22" s="1851">
        <v>306943760.31</v>
      </c>
      <c r="L22" s="1851">
        <v>194952420.59</v>
      </c>
      <c r="M22" s="1849">
        <f t="shared" si="2"/>
        <v>63.514052344021081</v>
      </c>
      <c r="N22" s="1851">
        <v>97963213.299999997</v>
      </c>
      <c r="O22" s="1851">
        <v>36727506.049999997</v>
      </c>
      <c r="P22" s="1849">
        <f t="shared" si="3"/>
        <v>37.491120199912835</v>
      </c>
    </row>
    <row r="23" spans="1:16" ht="15.75" x14ac:dyDescent="0.25">
      <c r="A23" s="1845" t="s">
        <v>335</v>
      </c>
      <c r="B23" s="1846">
        <v>918672761.13999999</v>
      </c>
      <c r="C23" s="1850">
        <v>374750669.57999998</v>
      </c>
      <c r="D23" s="1842">
        <f>C23/B23%</f>
        <v>40.792617941013525</v>
      </c>
      <c r="E23" s="1851">
        <v>118657113.48999999</v>
      </c>
      <c r="F23" s="1851">
        <v>64545519.719999999</v>
      </c>
      <c r="G23" s="1849">
        <f t="shared" si="0"/>
        <v>54.396671064680561</v>
      </c>
      <c r="H23" s="1851">
        <v>249602454</v>
      </c>
      <c r="I23" s="1851">
        <v>53365816.700000003</v>
      </c>
      <c r="J23" s="1849">
        <f t="shared" si="1"/>
        <v>21.380325331256561</v>
      </c>
      <c r="K23" s="1851">
        <v>442526626.91000003</v>
      </c>
      <c r="L23" s="1851">
        <v>225901334.59</v>
      </c>
      <c r="M23" s="1849">
        <f t="shared" si="2"/>
        <v>51.048077302689236</v>
      </c>
      <c r="N23" s="1850">
        <v>107886566.73999999</v>
      </c>
      <c r="O23" s="1850">
        <v>30937998.57</v>
      </c>
      <c r="P23" s="1849">
        <f t="shared" si="3"/>
        <v>28.676414038235805</v>
      </c>
    </row>
    <row r="24" spans="1:16" ht="15.75" x14ac:dyDescent="0.25">
      <c r="A24" s="1852" t="s">
        <v>1367</v>
      </c>
      <c r="B24" s="1853">
        <f>SUM(B7:B9,B11:B13,B15:B18,B20:B23)</f>
        <v>16229415252.319998</v>
      </c>
      <c r="C24" s="1853">
        <f t="shared" ref="C24:L24" si="4">SUM(C7:C9,C11:C13,C15:C18,C20:C23)</f>
        <v>7325755024.2199993</v>
      </c>
      <c r="D24" s="1853">
        <f>C24/B24%</f>
        <v>45.138749057349933</v>
      </c>
      <c r="E24" s="1853">
        <f t="shared" si="4"/>
        <v>2834338435.54</v>
      </c>
      <c r="F24" s="1853">
        <f t="shared" si="4"/>
        <v>1261100618.4200001</v>
      </c>
      <c r="G24" s="1854">
        <f t="shared" si="0"/>
        <v>44.493649826956336</v>
      </c>
      <c r="H24" s="1853">
        <f t="shared" si="4"/>
        <v>4992046308.7399998</v>
      </c>
      <c r="I24" s="1853">
        <f t="shared" si="4"/>
        <v>1397256662.5600002</v>
      </c>
      <c r="J24" s="1854">
        <f t="shared" si="1"/>
        <v>27.989657469997908</v>
      </c>
      <c r="K24" s="1853">
        <f t="shared" si="4"/>
        <v>6886163908.8100004</v>
      </c>
      <c r="L24" s="1853">
        <f t="shared" si="4"/>
        <v>4191685953.8000011</v>
      </c>
      <c r="M24" s="1854">
        <f t="shared" si="2"/>
        <v>60.871132452093597</v>
      </c>
      <c r="N24" s="1853">
        <f t="shared" ref="N24:O24" si="5">SUM(N7:N9,N11:N13,N15:N18,N20:N23)</f>
        <v>1516856599.1489997</v>
      </c>
      <c r="O24" s="1853">
        <f t="shared" si="5"/>
        <v>475711789.44</v>
      </c>
      <c r="P24" s="1854">
        <f t="shared" si="3"/>
        <v>31.361685060201999</v>
      </c>
    </row>
    <row r="25" spans="1:16" ht="38.25" x14ac:dyDescent="0.25">
      <c r="A25" s="1855" t="s">
        <v>1375</v>
      </c>
      <c r="B25" s="1856">
        <f>B6+B10+B14+B19</f>
        <v>3909248002.96</v>
      </c>
      <c r="C25" s="1856">
        <f t="shared" ref="C25:O25" si="6">C6+C10+C14+C19</f>
        <v>1529682687.25</v>
      </c>
      <c r="D25" s="1856">
        <f>C25/B25%</f>
        <v>39.129845077410195</v>
      </c>
      <c r="E25" s="1856">
        <f t="shared" si="6"/>
        <v>706198782</v>
      </c>
      <c r="F25" s="1856">
        <f t="shared" si="6"/>
        <v>321302000</v>
      </c>
      <c r="G25" s="1857">
        <f t="shared" si="0"/>
        <v>45.497388014469841</v>
      </c>
      <c r="H25" s="1856">
        <f t="shared" si="6"/>
        <v>1683946527.22</v>
      </c>
      <c r="I25" s="1856">
        <f t="shared" si="6"/>
        <v>474390814.73999995</v>
      </c>
      <c r="J25" s="1857">
        <f t="shared" si="1"/>
        <v>28.171370472384538</v>
      </c>
      <c r="K25" s="1856">
        <f t="shared" si="6"/>
        <v>1236977043.1600001</v>
      </c>
      <c r="L25" s="1856">
        <f t="shared" si="6"/>
        <v>660393501.22000003</v>
      </c>
      <c r="M25" s="1857">
        <f t="shared" si="2"/>
        <v>53.387692590716874</v>
      </c>
      <c r="N25" s="1856">
        <f t="shared" si="6"/>
        <v>282125680.57999998</v>
      </c>
      <c r="O25" s="1856">
        <f t="shared" si="6"/>
        <v>73596371.290000007</v>
      </c>
      <c r="P25" s="1857">
        <f t="shared" si="3"/>
        <v>26.08637793578345</v>
      </c>
    </row>
    <row r="26" spans="1:16" ht="15.75" x14ac:dyDescent="0.25">
      <c r="A26" s="1858" t="s">
        <v>1368</v>
      </c>
      <c r="B26" s="1859">
        <v>3182411875.1199999</v>
      </c>
      <c r="C26" s="1860">
        <v>1273240438.1300001</v>
      </c>
      <c r="D26" s="1861">
        <f>C26/B26%</f>
        <v>40.00866286617881</v>
      </c>
      <c r="E26" s="1862">
        <v>724470268</v>
      </c>
      <c r="F26" s="1862">
        <v>186203389.91</v>
      </c>
      <c r="G26" s="1863">
        <f t="shared" si="0"/>
        <v>25.702005746079838</v>
      </c>
      <c r="H26" s="1862">
        <v>690326728.23000002</v>
      </c>
      <c r="I26" s="1862">
        <v>254849271.56999999</v>
      </c>
      <c r="J26" s="1863">
        <f t="shared" si="1"/>
        <v>36.917196038958878</v>
      </c>
      <c r="K26" s="1862">
        <v>1234917064.8099999</v>
      </c>
      <c r="L26" s="1862">
        <v>662322344.74000001</v>
      </c>
      <c r="M26" s="1863">
        <f t="shared" si="2"/>
        <v>53.632941321602239</v>
      </c>
      <c r="N26" s="1862">
        <v>532697814.07999998</v>
      </c>
      <c r="O26" s="1862">
        <v>169865431.91</v>
      </c>
      <c r="P26" s="1863">
        <f t="shared" si="3"/>
        <v>31.887765900328958</v>
      </c>
    </row>
    <row r="27" spans="1:16" ht="15.75" x14ac:dyDescent="0.25">
      <c r="A27" s="1858" t="s">
        <v>1369</v>
      </c>
      <c r="B27" s="1859">
        <v>19064090662.639999</v>
      </c>
      <c r="C27" s="1860">
        <v>8309889365.6499996</v>
      </c>
      <c r="D27" s="1861">
        <f>C27/B27%</f>
        <v>43.58922496070025</v>
      </c>
      <c r="E27" s="1862">
        <v>3475440175.3000002</v>
      </c>
      <c r="F27" s="1862">
        <v>1451490356</v>
      </c>
      <c r="G27" s="1863">
        <f t="shared" si="0"/>
        <v>41.764216409643922</v>
      </c>
      <c r="H27" s="1862">
        <v>7738704329.4799995</v>
      </c>
      <c r="I27" s="1862">
        <v>2653802031.7399998</v>
      </c>
      <c r="J27" s="1863">
        <f t="shared" si="1"/>
        <v>34.292588510334276</v>
      </c>
      <c r="K27" s="1862">
        <v>7123069160.2299995</v>
      </c>
      <c r="L27" s="1862">
        <v>3916105113.75</v>
      </c>
      <c r="M27" s="1863">
        <f t="shared" si="2"/>
        <v>54.977777495333932</v>
      </c>
      <c r="N27" s="1862">
        <v>726876997.63</v>
      </c>
      <c r="O27" s="1862">
        <v>288491864.16000003</v>
      </c>
      <c r="P27" s="1863">
        <f t="shared" si="3"/>
        <v>39.689227352170271</v>
      </c>
    </row>
    <row r="28" spans="1:16" ht="15.75" x14ac:dyDescent="0.25">
      <c r="A28" s="1864" t="s">
        <v>1370</v>
      </c>
      <c r="B28" s="1865">
        <f t="shared" ref="B28" si="7">SUM(B26:B27)</f>
        <v>22246502537.759998</v>
      </c>
      <c r="C28" s="1866">
        <f>SUM(C26:C27)</f>
        <v>9583129803.7799988</v>
      </c>
      <c r="D28" s="1867">
        <f>C28/B28%</f>
        <v>43.077017555969157</v>
      </c>
      <c r="E28" s="1866">
        <f>SUM(E26:E27)</f>
        <v>4199910443.3000002</v>
      </c>
      <c r="F28" s="1866">
        <f t="shared" ref="F28:O28" si="8">SUM(F26:F27)</f>
        <v>1637693745.9100001</v>
      </c>
      <c r="G28" s="1868">
        <f t="shared" si="0"/>
        <v>38.993539696127741</v>
      </c>
      <c r="H28" s="1866">
        <f t="shared" si="8"/>
        <v>8429031057.7099991</v>
      </c>
      <c r="I28" s="1866">
        <f t="shared" si="8"/>
        <v>2908651303.3099999</v>
      </c>
      <c r="J28" s="1868">
        <f t="shared" si="1"/>
        <v>34.507540468123779</v>
      </c>
      <c r="K28" s="1866">
        <f t="shared" si="8"/>
        <v>8357986225.039999</v>
      </c>
      <c r="L28" s="1866">
        <f t="shared" si="8"/>
        <v>4578427458.4899998</v>
      </c>
      <c r="M28" s="1868">
        <f t="shared" si="2"/>
        <v>54.77907399240884</v>
      </c>
      <c r="N28" s="1866">
        <f t="shared" si="8"/>
        <v>1259574811.71</v>
      </c>
      <c r="O28" s="1866">
        <f t="shared" si="8"/>
        <v>458357296.07000005</v>
      </c>
      <c r="P28" s="1868">
        <f t="shared" si="3"/>
        <v>36.389842969925205</v>
      </c>
    </row>
    <row r="29" spans="1:16" ht="12.75" customHeight="1" x14ac:dyDescent="0.25">
      <c r="A29" s="1869"/>
      <c r="B29" s="1870"/>
      <c r="C29" s="1870"/>
      <c r="D29" s="1870"/>
      <c r="E29" s="1870"/>
      <c r="F29" s="1870"/>
      <c r="G29" s="1870"/>
      <c r="H29" s="1870"/>
      <c r="I29" s="1870"/>
      <c r="J29" s="1870"/>
      <c r="K29" s="1870"/>
      <c r="L29" s="1870"/>
      <c r="M29" s="1870"/>
      <c r="N29" s="1870"/>
      <c r="O29" s="1870"/>
      <c r="P29" s="1871"/>
    </row>
    <row r="30" spans="1:16" ht="15.75" x14ac:dyDescent="0.25">
      <c r="A30" s="1872" t="s">
        <v>1371</v>
      </c>
      <c r="B30" s="1823">
        <f>B24+B25+B28</f>
        <v>42385165793.039993</v>
      </c>
      <c r="C30" s="1823">
        <f>C24+C25+C28</f>
        <v>18438567515.25</v>
      </c>
      <c r="D30" s="1823">
        <f>C30/B30%</f>
        <v>43.502407434909145</v>
      </c>
      <c r="E30" s="1824">
        <f>E24+E25+E28</f>
        <v>7740447660.8400002</v>
      </c>
      <c r="F30" s="1824">
        <f>F24+F25+F28</f>
        <v>3220096364.3299999</v>
      </c>
      <c r="G30" s="1873">
        <f t="shared" si="0"/>
        <v>41.600906115816976</v>
      </c>
      <c r="H30" s="1824">
        <f>H24+H25+H28</f>
        <v>15105023893.669998</v>
      </c>
      <c r="I30" s="1824">
        <f>I24+I25+I28</f>
        <v>4780298780.6100006</v>
      </c>
      <c r="J30" s="1873">
        <f t="shared" si="1"/>
        <v>31.64707857637525</v>
      </c>
      <c r="K30" s="1824">
        <f>K24+K25+K28</f>
        <v>16481127177.009998</v>
      </c>
      <c r="L30" s="1824">
        <f>L24+L25+L28</f>
        <v>9430506913.5100021</v>
      </c>
      <c r="M30" s="1873">
        <f t="shared" si="2"/>
        <v>57.220036058364315</v>
      </c>
      <c r="N30" s="1824">
        <f>N24+N25+N28</f>
        <v>3058557091.4389997</v>
      </c>
      <c r="O30" s="1824">
        <f>O24+O25+O28</f>
        <v>1007665456.8000001</v>
      </c>
      <c r="P30" s="1873">
        <f t="shared" si="3"/>
        <v>32.945778897522899</v>
      </c>
    </row>
  </sheetData>
  <mergeCells count="11">
    <mergeCell ref="E3:P3"/>
    <mergeCell ref="E4:G4"/>
    <mergeCell ref="H4:J4"/>
    <mergeCell ref="K4:M4"/>
    <mergeCell ref="N4:P4"/>
    <mergeCell ref="A29:P29"/>
    <mergeCell ref="A1:P1"/>
    <mergeCell ref="A3:A5"/>
    <mergeCell ref="B3:B5"/>
    <mergeCell ref="C3:C5"/>
    <mergeCell ref="D3:D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8"/>
  <sheetViews>
    <sheetView zoomScale="64" zoomScaleNormal="64" workbookViewId="0">
      <pane xSplit="1" ySplit="6" topLeftCell="B7" activePane="bottomRight" state="frozen"/>
      <selection pane="topRight" activeCell="B1" sqref="B1"/>
      <selection pane="bottomLeft" activeCell="A9" sqref="A9"/>
      <selection pane="bottomRight" activeCell="C10" sqref="C10"/>
    </sheetView>
  </sheetViews>
  <sheetFormatPr defaultColWidth="8.85546875" defaultRowHeight="12.75" x14ac:dyDescent="0.25"/>
  <cols>
    <col min="1" max="1" width="57.140625" style="244" customWidth="1"/>
    <col min="2" max="2" width="22.42578125" style="244" customWidth="1"/>
    <col min="3" max="4" width="21.85546875" style="244" customWidth="1"/>
    <col min="5" max="5" width="21.140625" style="244" customWidth="1"/>
    <col min="6" max="16384" width="8.85546875" style="244"/>
  </cols>
  <sheetData>
    <row r="2" spans="1:5" ht="15.75" x14ac:dyDescent="0.25">
      <c r="A2" s="1780" t="s">
        <v>652</v>
      </c>
      <c r="B2" s="1780"/>
      <c r="C2" s="1780"/>
      <c r="D2" s="1780"/>
      <c r="E2" s="1780"/>
    </row>
    <row r="3" spans="1:5" ht="15.75" x14ac:dyDescent="0.25">
      <c r="A3" s="1781" t="str">
        <f>'Район  и  поселения'!E3</f>
        <v>ПО  СОСТОЯНИЮ  НА  1  ИЮЛЯ  2024  ГОДА</v>
      </c>
      <c r="B3" s="1781"/>
      <c r="C3" s="1781"/>
      <c r="D3" s="1781"/>
      <c r="E3" s="1781"/>
    </row>
    <row r="5" spans="1:5" x14ac:dyDescent="0.25">
      <c r="D5" s="244" t="s">
        <v>371</v>
      </c>
    </row>
    <row r="6" spans="1:5" ht="25.5" x14ac:dyDescent="0.25">
      <c r="A6" s="293" t="s">
        <v>357</v>
      </c>
      <c r="B6" s="240" t="s">
        <v>359</v>
      </c>
      <c r="C6" s="240" t="s">
        <v>364</v>
      </c>
      <c r="D6" s="240" t="s">
        <v>365</v>
      </c>
      <c r="E6" s="240" t="s">
        <v>373</v>
      </c>
    </row>
    <row r="7" spans="1:5" ht="15" x14ac:dyDescent="0.25">
      <c r="A7" s="403"/>
      <c r="B7" s="403"/>
      <c r="C7" s="401"/>
      <c r="D7" s="401"/>
      <c r="E7" s="401"/>
    </row>
    <row r="8" spans="1:5" ht="25.5" x14ac:dyDescent="0.25">
      <c r="A8" s="408" t="s">
        <v>653</v>
      </c>
      <c r="B8" s="409">
        <f>C8+Дотация!E15</f>
        <v>8193024161</v>
      </c>
      <c r="C8" s="410">
        <f>'[2]Исполнение  по  дотации'!$B$37*1000</f>
        <v>7740447630.8400002</v>
      </c>
      <c r="D8" s="410">
        <f>'[2]Исполнение  по  дотации'!$E$37*1000</f>
        <v>3220096364.3299999</v>
      </c>
      <c r="E8" s="409">
        <f>B8-C8</f>
        <v>452576530.15999985</v>
      </c>
    </row>
    <row r="9" spans="1:5" s="272" customFormat="1" ht="14.25" x14ac:dyDescent="0.25">
      <c r="A9" s="341" t="s">
        <v>376</v>
      </c>
      <c r="B9" s="411">
        <f>B8-B10-B11</f>
        <v>0</v>
      </c>
      <c r="C9" s="411">
        <f t="shared" ref="C9:E9" si="0">C8-C10-C11</f>
        <v>0</v>
      </c>
      <c r="D9" s="411">
        <f t="shared" si="0"/>
        <v>0</v>
      </c>
      <c r="E9" s="411">
        <f t="shared" si="0"/>
        <v>0</v>
      </c>
    </row>
    <row r="10" spans="1:5" s="272" customFormat="1" ht="25.5" x14ac:dyDescent="0.25">
      <c r="A10" s="341" t="s">
        <v>654</v>
      </c>
      <c r="B10" s="411">
        <f>C10</f>
        <v>3404309696.8400002</v>
      </c>
      <c r="C10" s="411">
        <f>'Проверочная  таблица'!F39</f>
        <v>3404309696.8400002</v>
      </c>
      <c r="D10" s="411">
        <f>'Проверочная  таблица'!G39</f>
        <v>1659749883.7599998</v>
      </c>
      <c r="E10" s="411">
        <f>B10-C10</f>
        <v>0</v>
      </c>
    </row>
    <row r="11" spans="1:5" ht="14.25" x14ac:dyDescent="0.25">
      <c r="A11" s="341" t="s">
        <v>655</v>
      </c>
      <c r="B11" s="411">
        <f>B8-B10</f>
        <v>4788714464.1599998</v>
      </c>
      <c r="C11" s="411">
        <f>C8-C10</f>
        <v>4336137934</v>
      </c>
      <c r="D11" s="411">
        <f>D8-D10</f>
        <v>1560346480.5700002</v>
      </c>
      <c r="E11" s="411">
        <f>E8-E10</f>
        <v>452576530.15999985</v>
      </c>
    </row>
    <row r="12" spans="1:5" ht="15" x14ac:dyDescent="0.25">
      <c r="A12" s="397"/>
      <c r="B12" s="401"/>
      <c r="C12" s="401"/>
      <c r="D12" s="401"/>
      <c r="E12" s="401"/>
    </row>
    <row r="13" spans="1:5" ht="25.5" x14ac:dyDescent="0.25">
      <c r="A13" s="408" t="s">
        <v>656</v>
      </c>
      <c r="B13" s="409">
        <f>C13+Субсидия!G517</f>
        <v>13901946723.43</v>
      </c>
      <c r="C13" s="410">
        <f>'[2]Исполнение  по  субсидии'!$B$38*1000</f>
        <v>15105033893.67</v>
      </c>
      <c r="D13" s="410">
        <f>'[2]Исполнение  по  субсидии'!$C$38*1000</f>
        <v>4780298780.6099997</v>
      </c>
      <c r="E13" s="409">
        <f>B13-C13</f>
        <v>-1203087170.2399998</v>
      </c>
    </row>
    <row r="14" spans="1:5" s="272" customFormat="1" ht="14.25" x14ac:dyDescent="0.25">
      <c r="A14" s="341" t="s">
        <v>376</v>
      </c>
      <c r="B14" s="411">
        <f>B13-B15-B16-B17</f>
        <v>-2487041884.949996</v>
      </c>
      <c r="C14" s="411">
        <f t="shared" ref="C14:E14" si="1">C13-C15-C16-C17</f>
        <v>-2487041884.9500008</v>
      </c>
      <c r="D14" s="411">
        <f t="shared" si="1"/>
        <v>0</v>
      </c>
      <c r="E14" s="411">
        <f t="shared" si="1"/>
        <v>2.86102294921875E-6</v>
      </c>
    </row>
    <row r="15" spans="1:5" s="272" customFormat="1" ht="51" x14ac:dyDescent="0.25">
      <c r="A15" s="341" t="s">
        <v>657</v>
      </c>
      <c r="B15" s="411">
        <f>Субсидия!D518</f>
        <v>4383274605.71</v>
      </c>
      <c r="C15" s="411">
        <f>Субсидия!E518</f>
        <v>4538352107.5900011</v>
      </c>
      <c r="D15" s="411">
        <f>Субсидия!F518</f>
        <v>1167537051.3400002</v>
      </c>
      <c r="E15" s="411">
        <f>B15-C15</f>
        <v>-155077501.88000107</v>
      </c>
    </row>
    <row r="16" spans="1:5" ht="38.25" x14ac:dyDescent="0.25">
      <c r="A16" s="341" t="s">
        <v>658</v>
      </c>
      <c r="B16" s="411">
        <f>Субсидия!D519</f>
        <v>5504050582.3699999</v>
      </c>
      <c r="C16" s="411">
        <f>Субсидия!E519</f>
        <v>4652186666.9799995</v>
      </c>
      <c r="D16" s="411">
        <f>Субсидия!F519</f>
        <v>1406578492.1700001</v>
      </c>
      <c r="E16" s="411">
        <f>B16-C16</f>
        <v>851863915.39000034</v>
      </c>
    </row>
    <row r="17" spans="1:5" ht="14.25" x14ac:dyDescent="0.25">
      <c r="A17" s="341" t="s">
        <v>659</v>
      </c>
      <c r="B17" s="411">
        <f>Субсидия!D520</f>
        <v>6501663420.2999973</v>
      </c>
      <c r="C17" s="411">
        <f>Субсидия!E520</f>
        <v>8401537004.0499992</v>
      </c>
      <c r="D17" s="411">
        <f>Субсидия!F520</f>
        <v>2206183237.0999994</v>
      </c>
      <c r="E17" s="411">
        <f>B17-C17</f>
        <v>-1899873583.7500019</v>
      </c>
    </row>
    <row r="18" spans="1:5" ht="15" x14ac:dyDescent="0.25">
      <c r="A18" s="397"/>
      <c r="B18" s="401"/>
      <c r="C18" s="401"/>
      <c r="D18" s="401"/>
      <c r="E18" s="401"/>
    </row>
    <row r="19" spans="1:5" ht="25.5" x14ac:dyDescent="0.25">
      <c r="A19" s="408" t="s">
        <v>660</v>
      </c>
      <c r="B19" s="409">
        <f>C19+Субвенция!G11</f>
        <v>16481127177.01</v>
      </c>
      <c r="C19" s="410">
        <f>'[2]Исполнение  по  субвенции'!$B$38*1000</f>
        <v>16481127177.01</v>
      </c>
      <c r="D19" s="410">
        <f>'[2]Исполнение  по  субвенции'!$G$38*1000</f>
        <v>9430506913.5100002</v>
      </c>
      <c r="E19" s="409">
        <f>B19-C19</f>
        <v>0</v>
      </c>
    </row>
    <row r="20" spans="1:5" s="272" customFormat="1" ht="14.25" x14ac:dyDescent="0.25">
      <c r="A20" s="341" t="s">
        <v>376</v>
      </c>
      <c r="B20" s="411"/>
      <c r="C20" s="411"/>
      <c r="D20" s="411"/>
      <c r="E20" s="411"/>
    </row>
    <row r="21" spans="1:5" s="272" customFormat="1" ht="14.25" x14ac:dyDescent="0.25">
      <c r="A21" s="341" t="s">
        <v>661</v>
      </c>
      <c r="B21" s="411">
        <f>B19</f>
        <v>16481127177.01</v>
      </c>
      <c r="C21" s="411">
        <f>C19</f>
        <v>16481127177.01</v>
      </c>
      <c r="D21" s="411">
        <f>D19</f>
        <v>9430506913.5100002</v>
      </c>
      <c r="E21" s="411">
        <f>E19</f>
        <v>0</v>
      </c>
    </row>
    <row r="22" spans="1:5" ht="15" x14ac:dyDescent="0.25">
      <c r="A22" s="397"/>
      <c r="B22" s="401"/>
      <c r="C22" s="401"/>
      <c r="D22" s="401"/>
      <c r="E22" s="401"/>
    </row>
    <row r="23" spans="1:5" ht="15" x14ac:dyDescent="0.25">
      <c r="A23" s="408" t="s">
        <v>662</v>
      </c>
      <c r="B23" s="409">
        <f>C23+'Иные  МБТ'!G52</f>
        <v>3379735210.4700003</v>
      </c>
      <c r="C23" s="410">
        <f>'[2]Исполнение  по  иным  МБТ'!$B$36*1000</f>
        <v>3058557091.5200005</v>
      </c>
      <c r="D23" s="410">
        <f>'[2]Исполнение  по  иным  МБТ'!$G$36*1000</f>
        <v>1007665456.8000002</v>
      </c>
      <c r="E23" s="409">
        <f>B23-C23</f>
        <v>321178118.94999981</v>
      </c>
    </row>
    <row r="24" spans="1:5" s="272" customFormat="1" ht="14.25" x14ac:dyDescent="0.25">
      <c r="A24" s="341" t="s">
        <v>376</v>
      </c>
      <c r="B24" s="411"/>
      <c r="C24" s="411"/>
      <c r="D24" s="411"/>
      <c r="E24" s="411"/>
    </row>
    <row r="25" spans="1:5" s="272" customFormat="1" ht="14.25" x14ac:dyDescent="0.25">
      <c r="A25" s="341" t="s">
        <v>663</v>
      </c>
      <c r="B25" s="411">
        <f>B23</f>
        <v>3379735210.4700003</v>
      </c>
      <c r="C25" s="411">
        <f>C23</f>
        <v>3058557091.5200005</v>
      </c>
      <c r="D25" s="411">
        <f>D23</f>
        <v>1007665456.8000002</v>
      </c>
      <c r="E25" s="411">
        <f>E23</f>
        <v>321178118.94999981</v>
      </c>
    </row>
    <row r="26" spans="1:5" ht="15" x14ac:dyDescent="0.25">
      <c r="A26" s="397"/>
      <c r="B26" s="401"/>
      <c r="C26" s="401"/>
      <c r="D26" s="401"/>
      <c r="E26" s="401"/>
    </row>
    <row r="27" spans="1:5" ht="15" x14ac:dyDescent="0.25">
      <c r="A27" s="412" t="s">
        <v>8</v>
      </c>
      <c r="B27" s="413">
        <f>B8+B13+B19+B23</f>
        <v>41955833271.910004</v>
      </c>
      <c r="C27" s="413">
        <f>C8+C13+C19+C23</f>
        <v>42385165793.040009</v>
      </c>
      <c r="D27" s="413">
        <f>D8+D13+D19+D23</f>
        <v>18438567515.25</v>
      </c>
      <c r="E27" s="413">
        <f>E8+E13+E19+E23</f>
        <v>-429332521.13000011</v>
      </c>
    </row>
    <row r="28" spans="1:5" s="414" customFormat="1" x14ac:dyDescent="0.25">
      <c r="C28" s="288">
        <f>C27-'Проверочная  таблица'!B38</f>
        <v>-2843391471.9999924</v>
      </c>
      <c r="D28" s="288">
        <f>D27-'Проверочная  таблица'!C38</f>
        <v>0</v>
      </c>
      <c r="E28" s="288">
        <f>E27-Дотация!E22</f>
        <v>7.152557373046875E-7</v>
      </c>
    </row>
  </sheetData>
  <mergeCells count="2">
    <mergeCell ref="A2:E2"/>
    <mergeCell ref="A3:E3"/>
  </mergeCells>
  <pageMargins left="0.78740157480314965" right="0.39370078740157483" top="0.78740157480314965" bottom="0.78740157480314965" header="0.51181102362204722" footer="0.51181102362204722"/>
  <pageSetup paperSize="9" scale="92" orientation="landscape"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80" zoomScaleNormal="80" workbookViewId="0">
      <pane xSplit="1" ySplit="7" topLeftCell="B8" activePane="bottomRight" state="frozen"/>
      <selection pane="topRight" activeCell="B1" sqref="B1"/>
      <selection pane="bottomLeft" activeCell="A6" sqref="A6"/>
      <selection pane="bottomRight" activeCell="A11" sqref="A11"/>
    </sheetView>
  </sheetViews>
  <sheetFormatPr defaultColWidth="9.140625" defaultRowHeight="12.75" x14ac:dyDescent="0.2"/>
  <cols>
    <col min="1" max="1" width="54.7109375" style="394" customWidth="1"/>
    <col min="2" max="2" width="15.5703125" style="394" customWidth="1"/>
    <col min="3" max="3" width="23.42578125" style="394" customWidth="1"/>
    <col min="4" max="4" width="20.85546875" style="394" customWidth="1"/>
    <col min="5" max="5" width="22.85546875" style="394" customWidth="1"/>
    <col min="6" max="6" width="17.5703125" style="394" bestFit="1" customWidth="1"/>
    <col min="7" max="16384" width="9.140625" style="394"/>
  </cols>
  <sheetData>
    <row r="2" spans="1:6" ht="15" x14ac:dyDescent="0.25">
      <c r="A2" s="1786" t="s">
        <v>633</v>
      </c>
      <c r="B2" s="1786"/>
      <c r="C2" s="1786"/>
      <c r="D2" s="1786"/>
      <c r="E2" s="1786"/>
    </row>
    <row r="3" spans="1:6" ht="15" x14ac:dyDescent="0.25">
      <c r="A3" s="1776" t="str">
        <f>'Проверочная  таблица'!E3</f>
        <v>ПО  СОСТОЯНИЮ  НА  1  ИЮЛЯ  2024  ГОДА</v>
      </c>
      <c r="B3" s="1776"/>
      <c r="C3" s="1776"/>
      <c r="D3" s="1776"/>
      <c r="E3" s="1776"/>
    </row>
    <row r="4" spans="1:6" ht="15" x14ac:dyDescent="0.25">
      <c r="A4" s="1787" t="s">
        <v>634</v>
      </c>
      <c r="B4" s="1787"/>
      <c r="C4" s="1787"/>
      <c r="D4" s="1787"/>
      <c r="E4" s="1787"/>
    </row>
    <row r="6" spans="1:6" ht="15" x14ac:dyDescent="0.25">
      <c r="D6" s="395">
        <f>D8-'[1]Финансовая  помощь  (факт)'!$P$36*1000-'[1]Финансовая  помощь  (факт)'!$Q$36*1000</f>
        <v>0</v>
      </c>
      <c r="E6" s="394" t="s">
        <v>371</v>
      </c>
    </row>
    <row r="7" spans="1:6" s="245" customFormat="1" ht="25.5" x14ac:dyDescent="0.25">
      <c r="A7" s="396" t="s">
        <v>357</v>
      </c>
      <c r="B7" s="396" t="s">
        <v>358</v>
      </c>
      <c r="C7" s="396" t="s">
        <v>359</v>
      </c>
      <c r="D7" s="396" t="s">
        <v>364</v>
      </c>
      <c r="E7" s="396" t="s">
        <v>373</v>
      </c>
    </row>
    <row r="8" spans="1:6" ht="127.5" x14ac:dyDescent="0.2">
      <c r="A8" s="397" t="s">
        <v>635</v>
      </c>
      <c r="B8" s="398" t="s">
        <v>636</v>
      </c>
      <c r="C8" s="399">
        <f>494261049.46+2022939494.7+500000000+1100000000</f>
        <v>4117200544.1599998</v>
      </c>
      <c r="D8" s="400">
        <f t="shared" ref="D8:D13" si="0">C8-E8</f>
        <v>3667624014</v>
      </c>
      <c r="E8" s="401">
        <f>'[1]Дотация  из  ОБ_факт'!F37</f>
        <v>449576530.15999985</v>
      </c>
      <c r="F8" s="402">
        <f>E8-'[1]Дотация  из  ОБ_факт'!$F$37</f>
        <v>0</v>
      </c>
    </row>
    <row r="9" spans="1:6" ht="153" x14ac:dyDescent="0.2">
      <c r="A9" s="397" t="s">
        <v>637</v>
      </c>
      <c r="B9" s="398" t="s">
        <v>638</v>
      </c>
      <c r="C9" s="399">
        <v>8500000</v>
      </c>
      <c r="D9" s="400">
        <f t="shared" si="0"/>
        <v>8500000</v>
      </c>
      <c r="E9" s="401">
        <f>'[1]Дотация  из  ОБ_факт'!F38</f>
        <v>0</v>
      </c>
    </row>
    <row r="10" spans="1:6" ht="165.75" x14ac:dyDescent="0.2">
      <c r="A10" s="397" t="s">
        <v>639</v>
      </c>
      <c r="B10" s="398" t="s">
        <v>640</v>
      </c>
      <c r="C10" s="399">
        <v>6000000</v>
      </c>
      <c r="D10" s="400">
        <f t="shared" si="0"/>
        <v>6000000</v>
      </c>
      <c r="E10" s="401">
        <f>'[1]Дотация  из  ОБ_факт'!F39</f>
        <v>0</v>
      </c>
    </row>
    <row r="11" spans="1:6" ht="153" x14ac:dyDescent="0.2">
      <c r="A11" s="397" t="s">
        <v>641</v>
      </c>
      <c r="B11" s="398" t="s">
        <v>642</v>
      </c>
      <c r="C11" s="399">
        <v>10000000</v>
      </c>
      <c r="D11" s="400">
        <f t="shared" si="0"/>
        <v>10000000</v>
      </c>
      <c r="E11" s="401">
        <f>'[1]Дотация  из  ОБ_факт'!F40</f>
        <v>0</v>
      </c>
    </row>
    <row r="12" spans="1:6" ht="153" x14ac:dyDescent="0.2">
      <c r="A12" s="397" t="s">
        <v>643</v>
      </c>
      <c r="B12" s="398" t="s">
        <v>644</v>
      </c>
      <c r="C12" s="399">
        <v>3000000</v>
      </c>
      <c r="D12" s="400">
        <f t="shared" si="0"/>
        <v>3000000</v>
      </c>
      <c r="E12" s="401">
        <f>'[1]Дотация  из  ОБ_факт'!F41</f>
        <v>0</v>
      </c>
    </row>
    <row r="13" spans="1:6" ht="165.75" x14ac:dyDescent="0.2">
      <c r="A13" s="397" t="s">
        <v>645</v>
      </c>
      <c r="B13" s="398" t="s">
        <v>646</v>
      </c>
      <c r="C13" s="399">
        <v>3000000</v>
      </c>
      <c r="D13" s="400">
        <f t="shared" si="0"/>
        <v>0</v>
      </c>
      <c r="E13" s="401">
        <f>'[1]Дотация  из  ОБ_факт'!F42</f>
        <v>3000000</v>
      </c>
    </row>
    <row r="14" spans="1:6" ht="15" x14ac:dyDescent="0.2">
      <c r="A14" s="403"/>
      <c r="B14" s="403"/>
      <c r="C14" s="399"/>
      <c r="D14" s="403"/>
      <c r="E14" s="404"/>
    </row>
    <row r="15" spans="1:6" s="405" customFormat="1" ht="15" x14ac:dyDescent="0.2">
      <c r="A15" s="293" t="s">
        <v>31</v>
      </c>
      <c r="B15" s="293"/>
      <c r="C15" s="285">
        <f>SUM(C8:C14)</f>
        <v>4147700544.1599998</v>
      </c>
      <c r="D15" s="285">
        <f>SUM(D8:D14)</f>
        <v>3695124014</v>
      </c>
      <c r="E15" s="285">
        <f>SUM(E8:E14)</f>
        <v>452576530.15999985</v>
      </c>
    </row>
    <row r="16" spans="1:6" x14ac:dyDescent="0.2">
      <c r="E16" s="406"/>
    </row>
    <row r="18" spans="1:5" x14ac:dyDescent="0.2">
      <c r="A18" s="405" t="s">
        <v>647</v>
      </c>
    </row>
    <row r="19" spans="1:5" ht="15" x14ac:dyDescent="0.2">
      <c r="A19" s="397" t="s">
        <v>648</v>
      </c>
      <c r="B19" s="398"/>
      <c r="C19" s="399"/>
      <c r="D19" s="400"/>
      <c r="E19" s="401">
        <f>Субсидия!G517</f>
        <v>-1203087170.2400007</v>
      </c>
    </row>
    <row r="20" spans="1:5" ht="15" x14ac:dyDescent="0.2">
      <c r="A20" s="397" t="s">
        <v>649</v>
      </c>
      <c r="B20" s="398"/>
      <c r="C20" s="399"/>
      <c r="D20" s="400"/>
      <c r="E20" s="401">
        <f>Субвенция!G11</f>
        <v>0</v>
      </c>
    </row>
    <row r="21" spans="1:5" ht="15" x14ac:dyDescent="0.2">
      <c r="A21" s="397" t="s">
        <v>650</v>
      </c>
      <c r="B21" s="398"/>
      <c r="C21" s="399"/>
      <c r="D21" s="400"/>
      <c r="E21" s="401">
        <f>'Иные  МБТ'!G52</f>
        <v>321178118.95000005</v>
      </c>
    </row>
    <row r="22" spans="1:5" ht="15" x14ac:dyDescent="0.2">
      <c r="A22" s="407" t="s">
        <v>651</v>
      </c>
      <c r="B22" s="403"/>
      <c r="C22" s="399"/>
      <c r="D22" s="403"/>
      <c r="E22" s="401">
        <f>SUM(E15:E21)</f>
        <v>-429332521.13000083</v>
      </c>
    </row>
  </sheetData>
  <mergeCells count="3">
    <mergeCell ref="A2:E2"/>
    <mergeCell ref="A3:E3"/>
    <mergeCell ref="A4:E4"/>
  </mergeCells>
  <pageMargins left="0.78740157480314965" right="0.39370078740157483" top="0.78740157480314965" bottom="0.78740157480314965" header="0.51181102362204722" footer="0.51181102362204722"/>
  <pageSetup paperSize="9" scale="64" orientation="portrait" r:id="rId1"/>
  <headerFooter alignWithMargins="0">
    <oddFooter>&amp;R&amp;Z&amp;F&amp;A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553"/>
  <sheetViews>
    <sheetView topLeftCell="A2" zoomScale="70" zoomScaleNormal="70" zoomScaleSheetLayoutView="70" workbookViewId="0">
      <pane xSplit="3" ySplit="6" topLeftCell="D527" activePane="bottomRight" state="frozen"/>
      <selection activeCell="A2" sqref="A2"/>
      <selection pane="topRight" activeCell="D2" sqref="D2"/>
      <selection pane="bottomLeft" activeCell="A8" sqref="A8"/>
      <selection pane="bottomRight" activeCell="H435" sqref="H435"/>
    </sheetView>
  </sheetViews>
  <sheetFormatPr defaultColWidth="9.140625" defaultRowHeight="15" x14ac:dyDescent="0.25"/>
  <cols>
    <col min="1" max="1" width="12.140625" style="303" customWidth="1"/>
    <col min="2" max="2" width="48.85546875" style="303" customWidth="1"/>
    <col min="3" max="3" width="19" style="303" customWidth="1"/>
    <col min="4" max="4" width="22.7109375" style="303" bestFit="1" customWidth="1"/>
    <col min="5" max="5" width="23.42578125" style="303" bestFit="1" customWidth="1"/>
    <col min="6" max="6" width="23.140625" style="303" customWidth="1"/>
    <col min="7" max="7" width="21.7109375" style="303" customWidth="1"/>
    <col min="8" max="8" width="9.42578125" style="301" customWidth="1"/>
    <col min="9" max="9" width="9.140625" style="301" customWidth="1"/>
    <col min="10" max="10" width="19" style="302" customWidth="1"/>
    <col min="11" max="11" width="17" style="303" bestFit="1" customWidth="1"/>
    <col min="12" max="12" width="12.42578125" style="303" customWidth="1"/>
    <col min="13" max="15" width="9.140625" style="303"/>
    <col min="16" max="16" width="14.5703125" style="303" customWidth="1"/>
    <col min="17" max="17" width="14.85546875" style="303" customWidth="1"/>
    <col min="18" max="16384" width="9.140625" style="303"/>
  </cols>
  <sheetData>
    <row r="2" spans="1:10" x14ac:dyDescent="0.25">
      <c r="A2" s="1789" t="s">
        <v>426</v>
      </c>
      <c r="B2" s="1789"/>
      <c r="C2" s="1789"/>
      <c r="D2" s="1789"/>
      <c r="E2" s="1789"/>
      <c r="F2" s="1789"/>
      <c r="G2" s="1789"/>
    </row>
    <row r="3" spans="1:10" x14ac:dyDescent="0.25">
      <c r="A3" s="1790" t="str">
        <f>'Проверочная  таблица'!E3</f>
        <v>ПО  СОСТОЯНИЮ  НА  1  ИЮЛЯ  2024  ГОДА</v>
      </c>
      <c r="B3" s="1790"/>
      <c r="C3" s="1790"/>
      <c r="D3" s="1790"/>
      <c r="E3" s="1790"/>
      <c r="F3" s="1790"/>
      <c r="G3" s="1790"/>
    </row>
    <row r="4" spans="1:10" ht="54.95" customHeight="1" x14ac:dyDescent="0.25">
      <c r="A4" s="1791" t="s">
        <v>427</v>
      </c>
      <c r="B4" s="1791"/>
      <c r="C4" s="1791"/>
      <c r="D4" s="1791"/>
      <c r="E4" s="1791"/>
      <c r="F4" s="1791"/>
      <c r="G4" s="1791"/>
    </row>
    <row r="6" spans="1:10" x14ac:dyDescent="0.25">
      <c r="G6" s="303" t="s">
        <v>371</v>
      </c>
    </row>
    <row r="7" spans="1:10" s="305" customFormat="1" ht="25.5" x14ac:dyDescent="0.25">
      <c r="A7" s="240" t="s">
        <v>372</v>
      </c>
      <c r="B7" s="240" t="s">
        <v>357</v>
      </c>
      <c r="C7" s="240" t="s">
        <v>358</v>
      </c>
      <c r="D7" s="240" t="s">
        <v>359</v>
      </c>
      <c r="E7" s="240" t="s">
        <v>364</v>
      </c>
      <c r="F7" s="240" t="s">
        <v>365</v>
      </c>
      <c r="G7" s="240" t="s">
        <v>373</v>
      </c>
      <c r="H7" s="304"/>
      <c r="I7" s="304"/>
      <c r="J7" s="294"/>
    </row>
    <row r="8" spans="1:10" s="305" customFormat="1" x14ac:dyDescent="0.25">
      <c r="A8" s="247" t="s">
        <v>374</v>
      </c>
      <c r="B8" s="248" t="s">
        <v>428</v>
      </c>
      <c r="C8" s="249"/>
      <c r="D8" s="300">
        <f t="shared" ref="D8:G10" si="0">D27+D24+D12+D30+D15+D18+D21</f>
        <v>53637951.120000005</v>
      </c>
      <c r="E8" s="300">
        <f t="shared" si="0"/>
        <v>53637951.120000005</v>
      </c>
      <c r="F8" s="300">
        <f t="shared" si="0"/>
        <v>10532489.710000001</v>
      </c>
      <c r="G8" s="300">
        <f t="shared" si="0"/>
        <v>0</v>
      </c>
      <c r="H8" s="251">
        <f t="shared" ref="H8:H59" si="1">IF(F8&gt;E8,1,0)</f>
        <v>0</v>
      </c>
      <c r="I8" s="251">
        <f>IF(G8&lt;0,1,0)</f>
        <v>0</v>
      </c>
      <c r="J8" s="294"/>
    </row>
    <row r="9" spans="1:10" s="305" customFormat="1" x14ac:dyDescent="0.25">
      <c r="A9" s="306"/>
      <c r="B9" s="307" t="s">
        <v>429</v>
      </c>
      <c r="C9" s="308"/>
      <c r="D9" s="309">
        <f t="shared" si="0"/>
        <v>53637951.120000005</v>
      </c>
      <c r="E9" s="309">
        <f t="shared" si="0"/>
        <v>53637951.120000005</v>
      </c>
      <c r="F9" s="309">
        <f t="shared" si="0"/>
        <v>10532489.710000001</v>
      </c>
      <c r="G9" s="309">
        <f t="shared" si="0"/>
        <v>0</v>
      </c>
      <c r="H9" s="251">
        <f t="shared" si="1"/>
        <v>0</v>
      </c>
      <c r="I9" s="251">
        <f t="shared" ref="I9:I97" si="2">IF(G9&lt;0,1,0)</f>
        <v>0</v>
      </c>
      <c r="J9" s="294"/>
    </row>
    <row r="10" spans="1:10" s="305" customFormat="1" x14ac:dyDescent="0.25">
      <c r="A10" s="306"/>
      <c r="B10" s="307" t="s">
        <v>430</v>
      </c>
      <c r="C10" s="308"/>
      <c r="D10" s="309">
        <f t="shared" si="0"/>
        <v>0</v>
      </c>
      <c r="E10" s="309">
        <f t="shared" si="0"/>
        <v>0</v>
      </c>
      <c r="F10" s="309">
        <f t="shared" si="0"/>
        <v>0</v>
      </c>
      <c r="G10" s="309">
        <f t="shared" si="0"/>
        <v>0</v>
      </c>
      <c r="H10" s="251">
        <f t="shared" si="1"/>
        <v>0</v>
      </c>
      <c r="I10" s="251">
        <f t="shared" si="2"/>
        <v>0</v>
      </c>
      <c r="J10" s="294"/>
    </row>
    <row r="11" spans="1:10" s="305" customFormat="1" x14ac:dyDescent="0.25">
      <c r="A11" s="252"/>
      <c r="B11" s="240" t="s">
        <v>376</v>
      </c>
      <c r="C11" s="217"/>
      <c r="D11" s="262"/>
      <c r="E11" s="275"/>
      <c r="F11" s="275"/>
      <c r="G11" s="262"/>
      <c r="H11" s="251">
        <f t="shared" si="1"/>
        <v>0</v>
      </c>
      <c r="I11" s="251">
        <f t="shared" si="2"/>
        <v>0</v>
      </c>
      <c r="J11" s="294"/>
    </row>
    <row r="12" spans="1:10" s="305" customFormat="1" ht="140.25" hidden="1" x14ac:dyDescent="0.25">
      <c r="A12" s="310"/>
      <c r="B12" s="280" t="s">
        <v>431</v>
      </c>
      <c r="C12" s="256" t="s">
        <v>432</v>
      </c>
      <c r="D12" s="279"/>
      <c r="E12" s="258">
        <f>D12</f>
        <v>0</v>
      </c>
      <c r="F12" s="311"/>
      <c r="G12" s="259">
        <f>D12-E12</f>
        <v>0</v>
      </c>
      <c r="H12" s="251">
        <f t="shared" si="1"/>
        <v>0</v>
      </c>
      <c r="I12" s="251">
        <f t="shared" si="2"/>
        <v>0</v>
      </c>
      <c r="J12" s="294"/>
    </row>
    <row r="13" spans="1:10" s="305" customFormat="1" hidden="1" x14ac:dyDescent="0.25">
      <c r="A13" s="312"/>
      <c r="B13" s="313" t="s">
        <v>429</v>
      </c>
      <c r="C13" s="314"/>
      <c r="D13" s="315"/>
      <c r="E13" s="315"/>
      <c r="F13" s="315"/>
      <c r="G13" s="315">
        <f t="shared" ref="G13:G26" si="3">D13-E13</f>
        <v>0</v>
      </c>
      <c r="H13" s="251">
        <f t="shared" si="1"/>
        <v>0</v>
      </c>
      <c r="I13" s="251">
        <f t="shared" si="2"/>
        <v>0</v>
      </c>
      <c r="J13" s="294"/>
    </row>
    <row r="14" spans="1:10" s="305" customFormat="1" hidden="1" x14ac:dyDescent="0.25">
      <c r="A14" s="312"/>
      <c r="B14" s="313" t="s">
        <v>430</v>
      </c>
      <c r="C14" s="314"/>
      <c r="D14" s="316">
        <f>D12</f>
        <v>0</v>
      </c>
      <c r="E14" s="316">
        <f t="shared" ref="E14:F14" si="4">E12</f>
        <v>0</v>
      </c>
      <c r="F14" s="316">
        <f t="shared" si="4"/>
        <v>0</v>
      </c>
      <c r="G14" s="315">
        <f t="shared" si="3"/>
        <v>0</v>
      </c>
      <c r="H14" s="251">
        <f t="shared" si="1"/>
        <v>0</v>
      </c>
      <c r="I14" s="251">
        <f t="shared" si="2"/>
        <v>0</v>
      </c>
      <c r="J14" s="294"/>
    </row>
    <row r="15" spans="1:10" ht="165.75" x14ac:dyDescent="0.25">
      <c r="A15" s="254"/>
      <c r="B15" s="280" t="s">
        <v>433</v>
      </c>
      <c r="C15" s="256" t="s">
        <v>434</v>
      </c>
      <c r="D15" s="279">
        <f>20673210+4049541.12</f>
        <v>24722751.120000001</v>
      </c>
      <c r="E15" s="275">
        <f>'Прочая  субсидия_МР  и  ГО'!AZ43</f>
        <v>24722751.120000001</v>
      </c>
      <c r="F15" s="275">
        <f>'Прочая  субсидия_МР  и  ГО'!BA43</f>
        <v>3850967.7</v>
      </c>
      <c r="G15" s="259">
        <f t="shared" si="3"/>
        <v>0</v>
      </c>
      <c r="H15" s="251">
        <f t="shared" si="1"/>
        <v>0</v>
      </c>
      <c r="I15" s="251">
        <f t="shared" si="2"/>
        <v>0</v>
      </c>
    </row>
    <row r="16" spans="1:10" x14ac:dyDescent="0.25">
      <c r="A16" s="312"/>
      <c r="B16" s="313" t="s">
        <v>429</v>
      </c>
      <c r="C16" s="314"/>
      <c r="D16" s="315">
        <f>D15</f>
        <v>24722751.120000001</v>
      </c>
      <c r="E16" s="315">
        <f>E15</f>
        <v>24722751.120000001</v>
      </c>
      <c r="F16" s="315">
        <f>F15</f>
        <v>3850967.7</v>
      </c>
      <c r="G16" s="315">
        <f t="shared" si="3"/>
        <v>0</v>
      </c>
      <c r="H16" s="251">
        <f t="shared" si="1"/>
        <v>0</v>
      </c>
      <c r="I16" s="251">
        <f t="shared" si="2"/>
        <v>0</v>
      </c>
    </row>
    <row r="17" spans="1:10" x14ac:dyDescent="0.25">
      <c r="A17" s="312"/>
      <c r="B17" s="313" t="s">
        <v>430</v>
      </c>
      <c r="C17" s="314"/>
      <c r="D17" s="315"/>
      <c r="E17" s="315"/>
      <c r="F17" s="315"/>
      <c r="G17" s="315">
        <f t="shared" si="3"/>
        <v>0</v>
      </c>
      <c r="H17" s="251">
        <f t="shared" si="1"/>
        <v>0</v>
      </c>
      <c r="I17" s="251">
        <f t="shared" si="2"/>
        <v>0</v>
      </c>
    </row>
    <row r="18" spans="1:10" ht="114.75" x14ac:dyDescent="0.25">
      <c r="A18" s="254"/>
      <c r="B18" s="280" t="s">
        <v>435</v>
      </c>
      <c r="C18" s="256" t="s">
        <v>436</v>
      </c>
      <c r="D18" s="279">
        <f>3726790+10</f>
        <v>3726800</v>
      </c>
      <c r="E18" s="275">
        <f>'Проверочная  таблица'!KS39</f>
        <v>3726800</v>
      </c>
      <c r="F18" s="275">
        <f>'Проверочная  таблица'!KX39</f>
        <v>0</v>
      </c>
      <c r="G18" s="259">
        <f t="shared" si="3"/>
        <v>0</v>
      </c>
      <c r="H18" s="251">
        <f t="shared" si="1"/>
        <v>0</v>
      </c>
      <c r="I18" s="251">
        <f t="shared" si="2"/>
        <v>0</v>
      </c>
      <c r="J18" s="317">
        <f>D18+D21</f>
        <v>10251200</v>
      </c>
    </row>
    <row r="19" spans="1:10" x14ac:dyDescent="0.25">
      <c r="A19" s="312"/>
      <c r="B19" s="313" t="s">
        <v>429</v>
      </c>
      <c r="C19" s="314"/>
      <c r="D19" s="315">
        <f>D18-D20</f>
        <v>3726800</v>
      </c>
      <c r="E19" s="315">
        <f t="shared" ref="E19:G19" si="5">E18-E20</f>
        <v>3726800</v>
      </c>
      <c r="F19" s="315">
        <f t="shared" si="5"/>
        <v>0</v>
      </c>
      <c r="G19" s="315">
        <f t="shared" si="5"/>
        <v>0</v>
      </c>
      <c r="H19" s="251">
        <f t="shared" si="1"/>
        <v>0</v>
      </c>
      <c r="I19" s="251">
        <f t="shared" si="2"/>
        <v>0</v>
      </c>
    </row>
    <row r="20" spans="1:10" x14ac:dyDescent="0.25">
      <c r="A20" s="312"/>
      <c r="B20" s="313" t="s">
        <v>430</v>
      </c>
      <c r="C20" s="314"/>
      <c r="D20" s="315"/>
      <c r="E20" s="315"/>
      <c r="F20" s="315"/>
      <c r="G20" s="315"/>
      <c r="H20" s="251">
        <f t="shared" si="1"/>
        <v>0</v>
      </c>
      <c r="I20" s="251">
        <f t="shared" si="2"/>
        <v>0</v>
      </c>
    </row>
    <row r="21" spans="1:10" x14ac:dyDescent="0.25">
      <c r="A21" s="282"/>
      <c r="B21" s="266" t="s">
        <v>398</v>
      </c>
      <c r="C21" s="283" t="s">
        <v>436</v>
      </c>
      <c r="D21" s="318">
        <f>6524400</f>
        <v>6524400</v>
      </c>
      <c r="E21" s="269">
        <f>'Проверочная  таблица'!KT39</f>
        <v>6524400</v>
      </c>
      <c r="F21" s="269">
        <f>'Проверочная  таблица'!KY39</f>
        <v>0</v>
      </c>
      <c r="G21" s="270">
        <f t="shared" ref="G21" si="6">D21-E21</f>
        <v>0</v>
      </c>
      <c r="H21" s="251">
        <f t="shared" si="1"/>
        <v>0</v>
      </c>
      <c r="I21" s="251">
        <f t="shared" si="2"/>
        <v>0</v>
      </c>
    </row>
    <row r="22" spans="1:10" x14ac:dyDescent="0.25">
      <c r="A22" s="282"/>
      <c r="B22" s="319" t="s">
        <v>429</v>
      </c>
      <c r="C22" s="320"/>
      <c r="D22" s="270">
        <f>D21-D23</f>
        <v>6524400</v>
      </c>
      <c r="E22" s="270">
        <f t="shared" ref="E22:G22" si="7">E21-E23</f>
        <v>6524400</v>
      </c>
      <c r="F22" s="270">
        <f t="shared" si="7"/>
        <v>0</v>
      </c>
      <c r="G22" s="270">
        <f t="shared" si="7"/>
        <v>0</v>
      </c>
      <c r="H22" s="251">
        <f t="shared" si="1"/>
        <v>0</v>
      </c>
      <c r="I22" s="251">
        <f t="shared" si="2"/>
        <v>0</v>
      </c>
    </row>
    <row r="23" spans="1:10" x14ac:dyDescent="0.25">
      <c r="A23" s="282"/>
      <c r="B23" s="319" t="s">
        <v>430</v>
      </c>
      <c r="C23" s="320"/>
      <c r="D23" s="270"/>
      <c r="E23" s="270"/>
      <c r="F23" s="270"/>
      <c r="G23" s="270"/>
      <c r="H23" s="251">
        <f t="shared" si="1"/>
        <v>0</v>
      </c>
      <c r="I23" s="251">
        <f t="shared" si="2"/>
        <v>0</v>
      </c>
    </row>
    <row r="24" spans="1:10" ht="140.25" x14ac:dyDescent="0.25">
      <c r="A24" s="254"/>
      <c r="B24" s="280" t="s">
        <v>437</v>
      </c>
      <c r="C24" s="256" t="s">
        <v>438</v>
      </c>
      <c r="D24" s="279">
        <v>15364000</v>
      </c>
      <c r="E24" s="275">
        <f>'Прочая  субсидия_МР  и  ГО'!BB43</f>
        <v>15364000.000000002</v>
      </c>
      <c r="F24" s="275">
        <f>'Прочая  субсидия_МР  и  ГО'!BC43</f>
        <v>6213995.6100000003</v>
      </c>
      <c r="G24" s="259">
        <f t="shared" si="3"/>
        <v>0</v>
      </c>
      <c r="H24" s="251">
        <f t="shared" si="1"/>
        <v>0</v>
      </c>
      <c r="I24" s="251">
        <f t="shared" si="2"/>
        <v>0</v>
      </c>
    </row>
    <row r="25" spans="1:10" x14ac:dyDescent="0.25">
      <c r="A25" s="312"/>
      <c r="B25" s="313" t="s">
        <v>429</v>
      </c>
      <c r="C25" s="314"/>
      <c r="D25" s="315">
        <f>D24</f>
        <v>15364000</v>
      </c>
      <c r="E25" s="315">
        <f>E24</f>
        <v>15364000.000000002</v>
      </c>
      <c r="F25" s="315">
        <f>F24</f>
        <v>6213995.6100000003</v>
      </c>
      <c r="G25" s="315">
        <f t="shared" si="3"/>
        <v>0</v>
      </c>
      <c r="H25" s="251">
        <f t="shared" si="1"/>
        <v>0</v>
      </c>
      <c r="I25" s="251">
        <f t="shared" si="2"/>
        <v>0</v>
      </c>
    </row>
    <row r="26" spans="1:10" x14ac:dyDescent="0.25">
      <c r="A26" s="312"/>
      <c r="B26" s="313" t="s">
        <v>430</v>
      </c>
      <c r="C26" s="314"/>
      <c r="D26" s="315"/>
      <c r="E26" s="315"/>
      <c r="F26" s="315"/>
      <c r="G26" s="315">
        <f t="shared" si="3"/>
        <v>0</v>
      </c>
      <c r="H26" s="251">
        <f t="shared" si="1"/>
        <v>0</v>
      </c>
      <c r="I26" s="251">
        <f t="shared" si="2"/>
        <v>0</v>
      </c>
    </row>
    <row r="27" spans="1:10" ht="114.75" x14ac:dyDescent="0.25">
      <c r="A27" s="254"/>
      <c r="B27" s="280" t="s">
        <v>439</v>
      </c>
      <c r="C27" s="256" t="s">
        <v>440</v>
      </c>
      <c r="D27" s="279">
        <v>2000000</v>
      </c>
      <c r="E27" s="275">
        <f>'Прочая  субсидия_МР  и  ГО'!BD43</f>
        <v>2000000</v>
      </c>
      <c r="F27" s="275">
        <f>'Прочая  субсидия_МР  и  ГО'!BE43</f>
        <v>81910.460000000006</v>
      </c>
      <c r="G27" s="259">
        <f>D27-E27</f>
        <v>0</v>
      </c>
      <c r="H27" s="251">
        <f>IF(F27&gt;E27,1,0)</f>
        <v>0</v>
      </c>
      <c r="I27" s="251">
        <f>IF(G27&lt;0,1,0)</f>
        <v>0</v>
      </c>
    </row>
    <row r="28" spans="1:10" x14ac:dyDescent="0.25">
      <c r="A28" s="312"/>
      <c r="B28" s="313" t="s">
        <v>429</v>
      </c>
      <c r="C28" s="314"/>
      <c r="D28" s="315">
        <f>D27</f>
        <v>2000000</v>
      </c>
      <c r="E28" s="315">
        <f>E27</f>
        <v>2000000</v>
      </c>
      <c r="F28" s="315">
        <f>F27</f>
        <v>81910.460000000006</v>
      </c>
      <c r="G28" s="315">
        <f>D28-E28</f>
        <v>0</v>
      </c>
      <c r="H28" s="251">
        <f>IF(F28&gt;E28,1,0)</f>
        <v>0</v>
      </c>
      <c r="I28" s="251">
        <f>IF(G28&lt;0,1,0)</f>
        <v>0</v>
      </c>
    </row>
    <row r="29" spans="1:10" x14ac:dyDescent="0.25">
      <c r="A29" s="312"/>
      <c r="B29" s="313" t="s">
        <v>430</v>
      </c>
      <c r="C29" s="314"/>
      <c r="D29" s="315"/>
      <c r="E29" s="315"/>
      <c r="F29" s="315"/>
      <c r="G29" s="315">
        <f>D29-E29</f>
        <v>0</v>
      </c>
      <c r="H29" s="251">
        <f>IF(F29&gt;E29,1,0)</f>
        <v>0</v>
      </c>
      <c r="I29" s="251">
        <f>IF(G29&lt;0,1,0)</f>
        <v>0</v>
      </c>
    </row>
    <row r="30" spans="1:10" ht="191.25" x14ac:dyDescent="0.25">
      <c r="A30" s="254"/>
      <c r="B30" s="280" t="s">
        <v>441</v>
      </c>
      <c r="C30" s="256" t="s">
        <v>442</v>
      </c>
      <c r="D30" s="279">
        <v>1300000</v>
      </c>
      <c r="E30" s="275">
        <f>'Прочая  субсидия_МР  и  ГО'!BH43</f>
        <v>1300000</v>
      </c>
      <c r="F30" s="275">
        <f>'Прочая  субсидия_МР  и  ГО'!BI43</f>
        <v>385615.94</v>
      </c>
      <c r="G30" s="259">
        <f t="shared" ref="G30:G32" si="8">D30-E30</f>
        <v>0</v>
      </c>
      <c r="H30" s="251">
        <f t="shared" ref="H30:H32" si="9">IF(F30&gt;E30,1,0)</f>
        <v>0</v>
      </c>
      <c r="I30" s="251">
        <f t="shared" ref="I30:I32" si="10">IF(G30&lt;0,1,0)</f>
        <v>0</v>
      </c>
    </row>
    <row r="31" spans="1:10" x14ac:dyDescent="0.25">
      <c r="A31" s="312"/>
      <c r="B31" s="313" t="s">
        <v>429</v>
      </c>
      <c r="C31" s="314"/>
      <c r="D31" s="315">
        <f>D30</f>
        <v>1300000</v>
      </c>
      <c r="E31" s="315">
        <f>E30</f>
        <v>1300000</v>
      </c>
      <c r="F31" s="315">
        <f>F30</f>
        <v>385615.94</v>
      </c>
      <c r="G31" s="315">
        <f t="shared" si="8"/>
        <v>0</v>
      </c>
      <c r="H31" s="251">
        <f t="shared" si="9"/>
        <v>0</v>
      </c>
      <c r="I31" s="251">
        <f t="shared" si="10"/>
        <v>0</v>
      </c>
    </row>
    <row r="32" spans="1:10" x14ac:dyDescent="0.25">
      <c r="A32" s="312"/>
      <c r="B32" s="313" t="s">
        <v>430</v>
      </c>
      <c r="C32" s="314"/>
      <c r="D32" s="315"/>
      <c r="E32" s="315"/>
      <c r="F32" s="315"/>
      <c r="G32" s="315">
        <f t="shared" si="8"/>
        <v>0</v>
      </c>
      <c r="H32" s="251">
        <f t="shared" si="9"/>
        <v>0</v>
      </c>
      <c r="I32" s="251">
        <f t="shared" si="10"/>
        <v>0</v>
      </c>
    </row>
    <row r="33" spans="1:10" x14ac:dyDescent="0.25">
      <c r="A33" s="254"/>
      <c r="B33" s="280"/>
      <c r="C33" s="278"/>
      <c r="D33" s="279"/>
      <c r="E33" s="275"/>
      <c r="F33" s="275"/>
      <c r="G33" s="259"/>
      <c r="H33" s="251">
        <f t="shared" si="1"/>
        <v>0</v>
      </c>
      <c r="I33" s="251">
        <f t="shared" si="2"/>
        <v>0</v>
      </c>
    </row>
    <row r="34" spans="1:10" x14ac:dyDescent="0.25">
      <c r="A34" s="247" t="s">
        <v>443</v>
      </c>
      <c r="B34" s="248" t="s">
        <v>444</v>
      </c>
      <c r="C34" s="276"/>
      <c r="D34" s="277">
        <f>D37+D40</f>
        <v>162837.84</v>
      </c>
      <c r="E34" s="277">
        <f t="shared" ref="E34:G36" si="11">E37+E40</f>
        <v>36312418.829999998</v>
      </c>
      <c r="F34" s="277">
        <f t="shared" si="11"/>
        <v>0</v>
      </c>
      <c r="G34" s="277">
        <f t="shared" si="11"/>
        <v>-36149580.990000002</v>
      </c>
      <c r="H34" s="251">
        <f t="shared" si="1"/>
        <v>0</v>
      </c>
      <c r="I34" s="251">
        <f t="shared" si="2"/>
        <v>1</v>
      </c>
    </row>
    <row r="35" spans="1:10" x14ac:dyDescent="0.25">
      <c r="A35" s="306"/>
      <c r="B35" s="307" t="s">
        <v>429</v>
      </c>
      <c r="C35" s="308"/>
      <c r="D35" s="321">
        <f>D38+D41</f>
        <v>162837.84</v>
      </c>
      <c r="E35" s="321">
        <f t="shared" si="11"/>
        <v>36312418.829999998</v>
      </c>
      <c r="F35" s="321">
        <f t="shared" si="11"/>
        <v>0</v>
      </c>
      <c r="G35" s="321">
        <f t="shared" si="11"/>
        <v>-36149580.990000002</v>
      </c>
      <c r="H35" s="251">
        <f t="shared" si="1"/>
        <v>0</v>
      </c>
      <c r="I35" s="251">
        <f t="shared" si="2"/>
        <v>1</v>
      </c>
    </row>
    <row r="36" spans="1:10" x14ac:dyDescent="0.25">
      <c r="A36" s="306"/>
      <c r="B36" s="307" t="s">
        <v>430</v>
      </c>
      <c r="C36" s="308"/>
      <c r="D36" s="321">
        <f>D39+D42</f>
        <v>0</v>
      </c>
      <c r="E36" s="321">
        <f t="shared" si="11"/>
        <v>0</v>
      </c>
      <c r="F36" s="321">
        <f t="shared" si="11"/>
        <v>0</v>
      </c>
      <c r="G36" s="321">
        <f t="shared" si="11"/>
        <v>0</v>
      </c>
      <c r="H36" s="251">
        <f t="shared" si="1"/>
        <v>0</v>
      </c>
      <c r="I36" s="251">
        <f t="shared" si="2"/>
        <v>0</v>
      </c>
    </row>
    <row r="37" spans="1:10" ht="114.75" x14ac:dyDescent="0.25">
      <c r="A37" s="254"/>
      <c r="B37" s="280" t="s">
        <v>445</v>
      </c>
      <c r="C37" s="256" t="s">
        <v>446</v>
      </c>
      <c r="D37" s="279">
        <v>42337.84</v>
      </c>
      <c r="E37" s="275">
        <f>'Проверочная  таблица'!KQ39</f>
        <v>27256531.120000001</v>
      </c>
      <c r="F37" s="275">
        <f>'Проверочная  таблица'!KV39</f>
        <v>0</v>
      </c>
      <c r="G37" s="259">
        <f t="shared" ref="G37:G40" si="12">D37-E37</f>
        <v>-27214193.280000001</v>
      </c>
      <c r="H37" s="251">
        <f t="shared" si="1"/>
        <v>0</v>
      </c>
      <c r="I37" s="251">
        <f t="shared" si="2"/>
        <v>1</v>
      </c>
      <c r="J37" s="317">
        <f>D37+D40</f>
        <v>162837.84</v>
      </c>
    </row>
    <row r="38" spans="1:10" x14ac:dyDescent="0.25">
      <c r="A38" s="312"/>
      <c r="B38" s="313" t="s">
        <v>429</v>
      </c>
      <c r="C38" s="314"/>
      <c r="D38" s="315">
        <f>D37-D39</f>
        <v>42337.84</v>
      </c>
      <c r="E38" s="315">
        <f t="shared" ref="E38:G38" si="13">E37-E39</f>
        <v>27256531.120000001</v>
      </c>
      <c r="F38" s="315">
        <f t="shared" si="13"/>
        <v>0</v>
      </c>
      <c r="G38" s="315">
        <f t="shared" si="13"/>
        <v>-27214193.280000001</v>
      </c>
      <c r="H38" s="251">
        <f t="shared" si="1"/>
        <v>0</v>
      </c>
      <c r="I38" s="251">
        <f t="shared" si="2"/>
        <v>1</v>
      </c>
    </row>
    <row r="39" spans="1:10" x14ac:dyDescent="0.25">
      <c r="A39" s="312"/>
      <c r="B39" s="313" t="s">
        <v>430</v>
      </c>
      <c r="C39" s="314"/>
      <c r="D39" s="315"/>
      <c r="E39" s="315"/>
      <c r="F39" s="315"/>
      <c r="G39" s="315"/>
      <c r="H39" s="251">
        <f t="shared" si="1"/>
        <v>0</v>
      </c>
      <c r="I39" s="251">
        <f t="shared" si="2"/>
        <v>0</v>
      </c>
    </row>
    <row r="40" spans="1:10" x14ac:dyDescent="0.25">
      <c r="A40" s="282"/>
      <c r="B40" s="266" t="s">
        <v>398</v>
      </c>
      <c r="C40" s="283" t="s">
        <v>446</v>
      </c>
      <c r="D40" s="318">
        <v>120500</v>
      </c>
      <c r="E40" s="269">
        <f>'Проверочная  таблица'!KR39</f>
        <v>9055887.7100000009</v>
      </c>
      <c r="F40" s="269">
        <f>'Проверочная  таблица'!KW39</f>
        <v>0</v>
      </c>
      <c r="G40" s="270">
        <f t="shared" si="12"/>
        <v>-8935387.7100000009</v>
      </c>
      <c r="H40" s="251">
        <f t="shared" si="1"/>
        <v>0</v>
      </c>
      <c r="I40" s="251">
        <f t="shared" si="2"/>
        <v>1</v>
      </c>
    </row>
    <row r="41" spans="1:10" x14ac:dyDescent="0.25">
      <c r="A41" s="282"/>
      <c r="B41" s="319" t="s">
        <v>429</v>
      </c>
      <c r="C41" s="320"/>
      <c r="D41" s="270">
        <f>D40-D42</f>
        <v>120500</v>
      </c>
      <c r="E41" s="270">
        <f t="shared" ref="E41:G41" si="14">E40-E42</f>
        <v>9055887.7100000009</v>
      </c>
      <c r="F41" s="270">
        <f t="shared" si="14"/>
        <v>0</v>
      </c>
      <c r="G41" s="270">
        <f t="shared" si="14"/>
        <v>-8935387.7100000009</v>
      </c>
      <c r="H41" s="251">
        <f t="shared" si="1"/>
        <v>0</v>
      </c>
      <c r="I41" s="251">
        <f t="shared" si="2"/>
        <v>1</v>
      </c>
    </row>
    <row r="42" spans="1:10" x14ac:dyDescent="0.25">
      <c r="A42" s="282"/>
      <c r="B42" s="319" t="s">
        <v>430</v>
      </c>
      <c r="C42" s="320"/>
      <c r="D42" s="270"/>
      <c r="E42" s="270"/>
      <c r="F42" s="270"/>
      <c r="G42" s="270"/>
      <c r="H42" s="251">
        <f t="shared" si="1"/>
        <v>0</v>
      </c>
      <c r="I42" s="251">
        <f t="shared" si="2"/>
        <v>0</v>
      </c>
    </row>
    <row r="43" spans="1:10" x14ac:dyDescent="0.25">
      <c r="A43" s="254"/>
      <c r="B43" s="280"/>
      <c r="C43" s="278"/>
      <c r="D43" s="279"/>
      <c r="E43" s="275"/>
      <c r="F43" s="275"/>
      <c r="G43" s="259"/>
      <c r="H43" s="251"/>
      <c r="I43" s="251"/>
    </row>
    <row r="44" spans="1:10" x14ac:dyDescent="0.25">
      <c r="A44" s="247" t="s">
        <v>383</v>
      </c>
      <c r="B44" s="248" t="s">
        <v>384</v>
      </c>
      <c r="C44" s="276"/>
      <c r="D44" s="277">
        <f>D48+D52+D56</f>
        <v>1478672773.1399999</v>
      </c>
      <c r="E44" s="277">
        <f t="shared" ref="E44:G46" si="15">E48+E52+E56</f>
        <v>1530298331.28</v>
      </c>
      <c r="F44" s="277">
        <f t="shared" si="15"/>
        <v>602248163</v>
      </c>
      <c r="G44" s="277">
        <f t="shared" si="15"/>
        <v>-51625558.140000015</v>
      </c>
      <c r="H44" s="251">
        <f t="shared" si="1"/>
        <v>0</v>
      </c>
      <c r="I44" s="251">
        <f t="shared" ref="I44:I59" si="16">IF(G44&lt;0,1,0)</f>
        <v>1</v>
      </c>
    </row>
    <row r="45" spans="1:10" x14ac:dyDescent="0.25">
      <c r="A45" s="306"/>
      <c r="B45" s="307" t="s">
        <v>429</v>
      </c>
      <c r="C45" s="308"/>
      <c r="D45" s="321">
        <f>D49+D53+D57</f>
        <v>0</v>
      </c>
      <c r="E45" s="321">
        <f t="shared" si="15"/>
        <v>0</v>
      </c>
      <c r="F45" s="321">
        <f t="shared" si="15"/>
        <v>0</v>
      </c>
      <c r="G45" s="321">
        <f t="shared" si="15"/>
        <v>0</v>
      </c>
      <c r="H45" s="251">
        <f t="shared" si="1"/>
        <v>0</v>
      </c>
      <c r="I45" s="251">
        <f t="shared" si="16"/>
        <v>0</v>
      </c>
    </row>
    <row r="46" spans="1:10" x14ac:dyDescent="0.25">
      <c r="A46" s="306"/>
      <c r="B46" s="307" t="s">
        <v>430</v>
      </c>
      <c r="C46" s="308"/>
      <c r="D46" s="321">
        <f>D50+D54+D58</f>
        <v>0</v>
      </c>
      <c r="E46" s="321">
        <f t="shared" si="15"/>
        <v>0</v>
      </c>
      <c r="F46" s="321">
        <f t="shared" si="15"/>
        <v>0</v>
      </c>
      <c r="G46" s="321">
        <f t="shared" si="15"/>
        <v>0</v>
      </c>
      <c r="H46" s="251">
        <f t="shared" si="1"/>
        <v>0</v>
      </c>
      <c r="I46" s="251">
        <f t="shared" si="16"/>
        <v>0</v>
      </c>
    </row>
    <row r="47" spans="1:10" x14ac:dyDescent="0.25">
      <c r="A47" s="306"/>
      <c r="B47" s="307" t="s">
        <v>447</v>
      </c>
      <c r="C47" s="308"/>
      <c r="D47" s="321">
        <f>D44-D45-D46</f>
        <v>1478672773.1399999</v>
      </c>
      <c r="E47" s="321">
        <f t="shared" ref="E47:G47" si="17">E44-E45-E46</f>
        <v>1530298331.28</v>
      </c>
      <c r="F47" s="321">
        <f t="shared" si="17"/>
        <v>602248163</v>
      </c>
      <c r="G47" s="321">
        <f t="shared" si="17"/>
        <v>-51625558.140000015</v>
      </c>
      <c r="H47" s="251">
        <f t="shared" si="1"/>
        <v>0</v>
      </c>
      <c r="I47" s="251">
        <f t="shared" si="16"/>
        <v>1</v>
      </c>
    </row>
    <row r="48" spans="1:10" ht="153" hidden="1" x14ac:dyDescent="0.25">
      <c r="A48" s="310"/>
      <c r="B48" s="280" t="s">
        <v>448</v>
      </c>
      <c r="C48" s="256" t="s">
        <v>449</v>
      </c>
      <c r="D48" s="279"/>
      <c r="E48" s="275">
        <f>'Проверочная  таблица'!DW38</f>
        <v>0</v>
      </c>
      <c r="F48" s="275">
        <f>'Проверочная  таблица'!EA38</f>
        <v>0</v>
      </c>
      <c r="G48" s="259">
        <f>D48-E48</f>
        <v>0</v>
      </c>
      <c r="H48" s="251">
        <f t="shared" si="1"/>
        <v>0</v>
      </c>
      <c r="I48" s="251">
        <f t="shared" si="16"/>
        <v>0</v>
      </c>
      <c r="J48" s="317">
        <f>D48</f>
        <v>0</v>
      </c>
    </row>
    <row r="49" spans="1:10" hidden="1" x14ac:dyDescent="0.25">
      <c r="A49" s="312"/>
      <c r="B49" s="313" t="s">
        <v>429</v>
      </c>
      <c r="C49" s="314"/>
      <c r="D49" s="315"/>
      <c r="E49" s="315"/>
      <c r="F49" s="315"/>
      <c r="G49" s="315">
        <f>D49-E49</f>
        <v>0</v>
      </c>
      <c r="H49" s="251">
        <f t="shared" si="1"/>
        <v>0</v>
      </c>
      <c r="I49" s="251">
        <f t="shared" si="16"/>
        <v>0</v>
      </c>
    </row>
    <row r="50" spans="1:10" hidden="1" x14ac:dyDescent="0.25">
      <c r="A50" s="312"/>
      <c r="B50" s="313" t="s">
        <v>430</v>
      </c>
      <c r="C50" s="314"/>
      <c r="D50" s="315"/>
      <c r="E50" s="315"/>
      <c r="F50" s="315"/>
      <c r="G50" s="315">
        <f>D50-E50</f>
        <v>0</v>
      </c>
      <c r="H50" s="251">
        <f t="shared" si="1"/>
        <v>0</v>
      </c>
      <c r="I50" s="251">
        <f t="shared" si="16"/>
        <v>0</v>
      </c>
    </row>
    <row r="51" spans="1:10" hidden="1" x14ac:dyDescent="0.25">
      <c r="A51" s="312"/>
      <c r="B51" s="313" t="s">
        <v>450</v>
      </c>
      <c r="C51" s="314"/>
      <c r="D51" s="316">
        <f>D48</f>
        <v>0</v>
      </c>
      <c r="E51" s="316">
        <f t="shared" ref="E51:F51" si="18">E48</f>
        <v>0</v>
      </c>
      <c r="F51" s="316">
        <f t="shared" si="18"/>
        <v>0</v>
      </c>
      <c r="G51" s="315">
        <f>D51-E51</f>
        <v>0</v>
      </c>
      <c r="H51" s="251">
        <f t="shared" si="1"/>
        <v>0</v>
      </c>
      <c r="I51" s="251">
        <f t="shared" si="16"/>
        <v>0</v>
      </c>
    </row>
    <row r="52" spans="1:10" ht="191.25" x14ac:dyDescent="0.25">
      <c r="A52" s="254"/>
      <c r="B52" s="280" t="s">
        <v>451</v>
      </c>
      <c r="C52" s="256" t="s">
        <v>452</v>
      </c>
      <c r="D52" s="279">
        <v>73933652.629999995</v>
      </c>
      <c r="E52" s="275">
        <f>'Проверочная  таблица'!HM38</f>
        <v>125559210.77000001</v>
      </c>
      <c r="F52" s="275">
        <f>'Проверочная  таблица'!HP38</f>
        <v>30112413.84</v>
      </c>
      <c r="G52" s="259">
        <f t="shared" ref="G52:G59" si="19">D52-E52</f>
        <v>-51625558.140000015</v>
      </c>
      <c r="H52" s="251">
        <f t="shared" si="1"/>
        <v>0</v>
      </c>
      <c r="I52" s="251">
        <f t="shared" si="16"/>
        <v>1</v>
      </c>
      <c r="J52" s="317">
        <f>D52+D56</f>
        <v>1478672773.1399999</v>
      </c>
    </row>
    <row r="53" spans="1:10" x14ac:dyDescent="0.25">
      <c r="A53" s="312"/>
      <c r="B53" s="313" t="s">
        <v>429</v>
      </c>
      <c r="C53" s="314"/>
      <c r="D53" s="315"/>
      <c r="E53" s="315"/>
      <c r="F53" s="315"/>
      <c r="G53" s="315">
        <f t="shared" si="19"/>
        <v>0</v>
      </c>
      <c r="H53" s="251">
        <f t="shared" si="1"/>
        <v>0</v>
      </c>
      <c r="I53" s="251">
        <f t="shared" si="16"/>
        <v>0</v>
      </c>
    </row>
    <row r="54" spans="1:10" x14ac:dyDescent="0.25">
      <c r="A54" s="312"/>
      <c r="B54" s="313" t="s">
        <v>430</v>
      </c>
      <c r="C54" s="314"/>
      <c r="D54" s="315"/>
      <c r="E54" s="315"/>
      <c r="F54" s="315"/>
      <c r="G54" s="315">
        <f t="shared" si="19"/>
        <v>0</v>
      </c>
      <c r="H54" s="251">
        <f t="shared" si="1"/>
        <v>0</v>
      </c>
      <c r="I54" s="251">
        <f t="shared" si="16"/>
        <v>0</v>
      </c>
    </row>
    <row r="55" spans="1:10" x14ac:dyDescent="0.25">
      <c r="A55" s="312"/>
      <c r="B55" s="313" t="s">
        <v>447</v>
      </c>
      <c r="C55" s="314"/>
      <c r="D55" s="315">
        <f>D52</f>
        <v>73933652.629999995</v>
      </c>
      <c r="E55" s="315">
        <f t="shared" ref="E55:F55" si="20">E52</f>
        <v>125559210.77000001</v>
      </c>
      <c r="F55" s="315">
        <f t="shared" si="20"/>
        <v>30112413.84</v>
      </c>
      <c r="G55" s="315">
        <f t="shared" si="19"/>
        <v>-51625558.140000015</v>
      </c>
      <c r="H55" s="251">
        <f t="shared" si="1"/>
        <v>0</v>
      </c>
      <c r="I55" s="251">
        <f t="shared" si="16"/>
        <v>1</v>
      </c>
    </row>
    <row r="56" spans="1:10" x14ac:dyDescent="0.25">
      <c r="A56" s="282"/>
      <c r="B56" s="266" t="s">
        <v>398</v>
      </c>
      <c r="C56" s="283" t="s">
        <v>452</v>
      </c>
      <c r="D56" s="318">
        <v>1404739120.51</v>
      </c>
      <c r="E56" s="269">
        <f>'Проверочная  таблица'!HN38</f>
        <v>1404739120.51</v>
      </c>
      <c r="F56" s="269">
        <f>'Проверочная  таблица'!HQ38</f>
        <v>572135749.15999997</v>
      </c>
      <c r="G56" s="270">
        <f t="shared" si="19"/>
        <v>0</v>
      </c>
      <c r="H56" s="251">
        <f t="shared" si="1"/>
        <v>0</v>
      </c>
      <c r="I56" s="251">
        <f t="shared" si="16"/>
        <v>0</v>
      </c>
    </row>
    <row r="57" spans="1:10" x14ac:dyDescent="0.25">
      <c r="A57" s="282"/>
      <c r="B57" s="319" t="s">
        <v>429</v>
      </c>
      <c r="C57" s="320"/>
      <c r="D57" s="270"/>
      <c r="E57" s="270"/>
      <c r="F57" s="270"/>
      <c r="G57" s="270">
        <f t="shared" si="19"/>
        <v>0</v>
      </c>
      <c r="H57" s="251">
        <f t="shared" si="1"/>
        <v>0</v>
      </c>
      <c r="I57" s="251">
        <f t="shared" si="16"/>
        <v>0</v>
      </c>
    </row>
    <row r="58" spans="1:10" x14ac:dyDescent="0.25">
      <c r="A58" s="282"/>
      <c r="B58" s="319" t="s">
        <v>430</v>
      </c>
      <c r="C58" s="320"/>
      <c r="D58" s="270"/>
      <c r="E58" s="270"/>
      <c r="F58" s="270"/>
      <c r="G58" s="270">
        <f t="shared" si="19"/>
        <v>0</v>
      </c>
      <c r="H58" s="251">
        <f t="shared" si="1"/>
        <v>0</v>
      </c>
      <c r="I58" s="251">
        <f t="shared" si="16"/>
        <v>0</v>
      </c>
    </row>
    <row r="59" spans="1:10" x14ac:dyDescent="0.25">
      <c r="A59" s="282"/>
      <c r="B59" s="319" t="s">
        <v>447</v>
      </c>
      <c r="C59" s="320"/>
      <c r="D59" s="270">
        <f>D56</f>
        <v>1404739120.51</v>
      </c>
      <c r="E59" s="270">
        <f t="shared" ref="E59:F59" si="21">E56</f>
        <v>1404739120.51</v>
      </c>
      <c r="F59" s="270">
        <f t="shared" si="21"/>
        <v>572135749.15999997</v>
      </c>
      <c r="G59" s="270">
        <f t="shared" si="19"/>
        <v>0</v>
      </c>
      <c r="H59" s="251">
        <f t="shared" si="1"/>
        <v>0</v>
      </c>
      <c r="I59" s="251">
        <f t="shared" si="16"/>
        <v>0</v>
      </c>
    </row>
    <row r="60" spans="1:10" x14ac:dyDescent="0.25">
      <c r="A60" s="254"/>
      <c r="B60" s="280"/>
      <c r="C60" s="278"/>
      <c r="D60" s="279"/>
      <c r="E60" s="275"/>
      <c r="F60" s="275"/>
      <c r="G60" s="259"/>
      <c r="H60" s="251"/>
      <c r="I60" s="251"/>
    </row>
    <row r="61" spans="1:10" x14ac:dyDescent="0.25">
      <c r="A61" s="247" t="s">
        <v>453</v>
      </c>
      <c r="B61" s="248" t="s">
        <v>454</v>
      </c>
      <c r="C61" s="276"/>
      <c r="D61" s="277">
        <f t="shared" ref="D61:G63" si="22">D82+D85+D88+D79+D92+D95+D73+D76+D65+D69</f>
        <v>5304628310.4399996</v>
      </c>
      <c r="E61" s="277">
        <f t="shared" si="22"/>
        <v>4792608917.5599995</v>
      </c>
      <c r="F61" s="277">
        <f t="shared" si="22"/>
        <v>1251473292.2499998</v>
      </c>
      <c r="G61" s="277">
        <f t="shared" si="22"/>
        <v>512019392.87999952</v>
      </c>
      <c r="H61" s="251">
        <f t="shared" ref="H61:H124" si="23">IF(F61&gt;E61,1,0)</f>
        <v>0</v>
      </c>
      <c r="I61" s="251">
        <f t="shared" si="2"/>
        <v>0</v>
      </c>
    </row>
    <row r="62" spans="1:10" x14ac:dyDescent="0.25">
      <c r="A62" s="306"/>
      <c r="B62" s="307" t="s">
        <v>429</v>
      </c>
      <c r="C62" s="308"/>
      <c r="D62" s="322">
        <f t="shared" si="22"/>
        <v>2281376499.7800002</v>
      </c>
      <c r="E62" s="322">
        <f t="shared" si="22"/>
        <v>2360377076.8000007</v>
      </c>
      <c r="F62" s="322">
        <f t="shared" si="22"/>
        <v>612163357.53999996</v>
      </c>
      <c r="G62" s="322">
        <f t="shared" si="22"/>
        <v>-79000577.020000458</v>
      </c>
      <c r="H62" s="251">
        <f t="shared" si="23"/>
        <v>0</v>
      </c>
      <c r="I62" s="251">
        <f t="shared" si="2"/>
        <v>1</v>
      </c>
    </row>
    <row r="63" spans="1:10" x14ac:dyDescent="0.25">
      <c r="A63" s="306"/>
      <c r="B63" s="307" t="s">
        <v>430</v>
      </c>
      <c r="C63" s="308"/>
      <c r="D63" s="322">
        <f t="shared" si="22"/>
        <v>2608519789.6599998</v>
      </c>
      <c r="E63" s="322">
        <f t="shared" si="22"/>
        <v>1990938269.77</v>
      </c>
      <c r="F63" s="322">
        <f t="shared" si="22"/>
        <v>471090618.28999996</v>
      </c>
      <c r="G63" s="322">
        <f t="shared" si="22"/>
        <v>617581519.88999999</v>
      </c>
      <c r="H63" s="251">
        <f t="shared" si="23"/>
        <v>0</v>
      </c>
      <c r="I63" s="251">
        <f t="shared" si="2"/>
        <v>0</v>
      </c>
    </row>
    <row r="64" spans="1:10" x14ac:dyDescent="0.25">
      <c r="A64" s="306"/>
      <c r="B64" s="307" t="s">
        <v>447</v>
      </c>
      <c r="C64" s="308"/>
      <c r="D64" s="322">
        <f>D61-D62-D63</f>
        <v>414732020.99999952</v>
      </c>
      <c r="E64" s="322">
        <f t="shared" ref="E64:G64" si="24">E61-E62-E63</f>
        <v>441293570.98999882</v>
      </c>
      <c r="F64" s="322">
        <f t="shared" si="24"/>
        <v>168219316.41999984</v>
      </c>
      <c r="G64" s="322">
        <f t="shared" si="24"/>
        <v>-26561549.99000001</v>
      </c>
      <c r="H64" s="251"/>
      <c r="I64" s="251"/>
    </row>
    <row r="65" spans="1:11" ht="140.25" x14ac:dyDescent="0.25">
      <c r="A65" s="254"/>
      <c r="B65" s="280" t="s">
        <v>455</v>
      </c>
      <c r="C65" s="256" t="s">
        <v>456</v>
      </c>
      <c r="D65" s="279">
        <f>440720+18826101</f>
        <v>19266821</v>
      </c>
      <c r="E65" s="275">
        <f>'Проверочная  таблица'!GG39</f>
        <v>53433148.659999982</v>
      </c>
      <c r="F65" s="275">
        <f>'Проверочная  таблица'!GJ39</f>
        <v>2659293.25</v>
      </c>
      <c r="G65" s="259">
        <f t="shared" ref="G65:G82" si="25">D65-E65</f>
        <v>-34166327.659999982</v>
      </c>
      <c r="H65" s="251">
        <f t="shared" ref="H65:H84" si="26">IF(F65&gt;E65,1,0)</f>
        <v>0</v>
      </c>
      <c r="I65" s="251">
        <f t="shared" ref="I65:I90" si="27">IF(G65&lt;0,1,0)</f>
        <v>1</v>
      </c>
      <c r="J65" s="317">
        <f>D65+D69</f>
        <v>264732021</v>
      </c>
    </row>
    <row r="66" spans="1:11" x14ac:dyDescent="0.25">
      <c r="A66" s="312"/>
      <c r="B66" s="313" t="s">
        <v>429</v>
      </c>
      <c r="C66" s="314"/>
      <c r="D66" s="315"/>
      <c r="E66" s="315"/>
      <c r="F66" s="315"/>
      <c r="G66" s="315">
        <f t="shared" si="25"/>
        <v>0</v>
      </c>
      <c r="H66" s="251">
        <f t="shared" si="26"/>
        <v>0</v>
      </c>
      <c r="I66" s="251">
        <f t="shared" si="27"/>
        <v>0</v>
      </c>
    </row>
    <row r="67" spans="1:11" x14ac:dyDescent="0.25">
      <c r="A67" s="312"/>
      <c r="B67" s="313" t="s">
        <v>430</v>
      </c>
      <c r="C67" s="314"/>
      <c r="D67" s="315"/>
      <c r="E67" s="315"/>
      <c r="F67" s="315"/>
      <c r="G67" s="315">
        <f t="shared" si="25"/>
        <v>0</v>
      </c>
      <c r="H67" s="251">
        <f t="shared" si="26"/>
        <v>0</v>
      </c>
      <c r="I67" s="251">
        <f t="shared" si="27"/>
        <v>0</v>
      </c>
    </row>
    <row r="68" spans="1:11" x14ac:dyDescent="0.25">
      <c r="A68" s="312"/>
      <c r="B68" s="313" t="s">
        <v>447</v>
      </c>
      <c r="C68" s="314"/>
      <c r="D68" s="315">
        <f>D65</f>
        <v>19266821</v>
      </c>
      <c r="E68" s="315">
        <f t="shared" ref="E68:F68" si="28">E65</f>
        <v>53433148.659999982</v>
      </c>
      <c r="F68" s="315">
        <f t="shared" si="28"/>
        <v>2659293.25</v>
      </c>
      <c r="G68" s="315">
        <f t="shared" si="25"/>
        <v>-34166327.659999982</v>
      </c>
      <c r="H68" s="251">
        <f t="shared" si="26"/>
        <v>0</v>
      </c>
      <c r="I68" s="251">
        <f t="shared" si="27"/>
        <v>1</v>
      </c>
      <c r="K68" s="323"/>
    </row>
    <row r="69" spans="1:11" x14ac:dyDescent="0.25">
      <c r="A69" s="282"/>
      <c r="B69" s="266" t="s">
        <v>398</v>
      </c>
      <c r="C69" s="283" t="s">
        <v>456</v>
      </c>
      <c r="D69" s="318">
        <f>8373700+237091500</f>
        <v>245465200</v>
      </c>
      <c r="E69" s="269">
        <f>'Проверочная  таблица'!GH39</f>
        <v>234131380.22999999</v>
      </c>
      <c r="F69" s="269">
        <f>'Проверочная  таблица'!GK39</f>
        <v>50526359.969999999</v>
      </c>
      <c r="G69" s="270">
        <f t="shared" si="25"/>
        <v>11333819.770000011</v>
      </c>
      <c r="H69" s="251">
        <f t="shared" si="26"/>
        <v>0</v>
      </c>
      <c r="I69" s="251">
        <f t="shared" si="27"/>
        <v>0</v>
      </c>
      <c r="K69" s="323"/>
    </row>
    <row r="70" spans="1:11" x14ac:dyDescent="0.25">
      <c r="A70" s="282"/>
      <c r="B70" s="319" t="s">
        <v>429</v>
      </c>
      <c r="C70" s="320"/>
      <c r="D70" s="270"/>
      <c r="E70" s="270"/>
      <c r="F70" s="270"/>
      <c r="G70" s="270">
        <f t="shared" si="25"/>
        <v>0</v>
      </c>
      <c r="H70" s="251">
        <f t="shared" si="26"/>
        <v>0</v>
      </c>
      <c r="I70" s="251">
        <f t="shared" si="27"/>
        <v>0</v>
      </c>
    </row>
    <row r="71" spans="1:11" x14ac:dyDescent="0.25">
      <c r="A71" s="282"/>
      <c r="B71" s="319" t="s">
        <v>430</v>
      </c>
      <c r="C71" s="320"/>
      <c r="D71" s="270"/>
      <c r="E71" s="270"/>
      <c r="F71" s="270"/>
      <c r="G71" s="270">
        <f t="shared" si="25"/>
        <v>0</v>
      </c>
      <c r="H71" s="251">
        <f t="shared" si="26"/>
        <v>0</v>
      </c>
      <c r="I71" s="251">
        <f t="shared" si="27"/>
        <v>0</v>
      </c>
    </row>
    <row r="72" spans="1:11" x14ac:dyDescent="0.25">
      <c r="A72" s="282"/>
      <c r="B72" s="319" t="s">
        <v>447</v>
      </c>
      <c r="C72" s="320"/>
      <c r="D72" s="270">
        <f>D69</f>
        <v>245465200</v>
      </c>
      <c r="E72" s="270">
        <f t="shared" ref="E72:F72" si="29">E69</f>
        <v>234131380.22999999</v>
      </c>
      <c r="F72" s="270">
        <f t="shared" si="29"/>
        <v>50526359.969999999</v>
      </c>
      <c r="G72" s="270">
        <f t="shared" si="25"/>
        <v>11333819.770000011</v>
      </c>
      <c r="H72" s="251">
        <f t="shared" si="26"/>
        <v>0</v>
      </c>
      <c r="I72" s="251">
        <f t="shared" si="27"/>
        <v>0</v>
      </c>
    </row>
    <row r="73" spans="1:11" ht="114.75" x14ac:dyDescent="0.25">
      <c r="A73" s="254"/>
      <c r="B73" s="280" t="s">
        <v>457</v>
      </c>
      <c r="C73" s="256" t="s">
        <v>458</v>
      </c>
      <c r="D73" s="279">
        <f>19680000-5994040.61</f>
        <v>13685959.390000001</v>
      </c>
      <c r="E73" s="275">
        <f>'Проверочная  таблица'!GW38</f>
        <v>13685959.390000001</v>
      </c>
      <c r="F73" s="275">
        <f>'Проверочная  таблица'!HA38</f>
        <v>7396800</v>
      </c>
      <c r="G73" s="259">
        <f t="shared" si="25"/>
        <v>0</v>
      </c>
      <c r="H73" s="251">
        <f t="shared" si="26"/>
        <v>0</v>
      </c>
      <c r="I73" s="251">
        <f t="shared" si="27"/>
        <v>0</v>
      </c>
      <c r="J73" s="299">
        <f>D73+D76</f>
        <v>273719187.75999999</v>
      </c>
    </row>
    <row r="74" spans="1:11" x14ac:dyDescent="0.25">
      <c r="A74" s="312"/>
      <c r="B74" s="324" t="s">
        <v>429</v>
      </c>
      <c r="C74" s="314"/>
      <c r="D74" s="325">
        <f>D73-D75</f>
        <v>13685959.390000001</v>
      </c>
      <c r="E74" s="325">
        <f t="shared" ref="E74:F74" si="30">E73-E75</f>
        <v>13685959.390000001</v>
      </c>
      <c r="F74" s="325">
        <f t="shared" si="30"/>
        <v>7396800</v>
      </c>
      <c r="G74" s="325">
        <f t="shared" si="25"/>
        <v>0</v>
      </c>
      <c r="H74" s="251">
        <f t="shared" si="26"/>
        <v>0</v>
      </c>
      <c r="I74" s="251">
        <f t="shared" si="27"/>
        <v>0</v>
      </c>
      <c r="J74" s="291"/>
    </row>
    <row r="75" spans="1:11" x14ac:dyDescent="0.25">
      <c r="A75" s="312"/>
      <c r="B75" s="324" t="s">
        <v>430</v>
      </c>
      <c r="C75" s="314"/>
      <c r="D75" s="326"/>
      <c r="E75" s="326"/>
      <c r="F75" s="326"/>
      <c r="G75" s="325">
        <f t="shared" si="25"/>
        <v>0</v>
      </c>
      <c r="H75" s="251">
        <f t="shared" si="26"/>
        <v>0</v>
      </c>
      <c r="I75" s="251">
        <f t="shared" si="27"/>
        <v>0</v>
      </c>
      <c r="J75" s="291" t="s">
        <v>367</v>
      </c>
    </row>
    <row r="76" spans="1:11" x14ac:dyDescent="0.25">
      <c r="A76" s="282"/>
      <c r="B76" s="327" t="s">
        <v>398</v>
      </c>
      <c r="C76" s="283" t="s">
        <v>458</v>
      </c>
      <c r="D76" s="328">
        <f>373920000-113886771.63</f>
        <v>260033228.37</v>
      </c>
      <c r="E76" s="329">
        <f>'Проверочная  таблица'!GX38</f>
        <v>335298439.97000003</v>
      </c>
      <c r="F76" s="329">
        <f>'Проверочная  таблица'!HB38</f>
        <v>140539200</v>
      </c>
      <c r="G76" s="330">
        <f t="shared" si="25"/>
        <v>-75265211.600000024</v>
      </c>
      <c r="H76" s="251">
        <f t="shared" si="26"/>
        <v>0</v>
      </c>
      <c r="I76" s="251">
        <f t="shared" si="27"/>
        <v>1</v>
      </c>
      <c r="J76" s="291"/>
    </row>
    <row r="77" spans="1:11" x14ac:dyDescent="0.25">
      <c r="A77" s="282"/>
      <c r="B77" s="331" t="s">
        <v>429</v>
      </c>
      <c r="C77" s="320"/>
      <c r="D77" s="330">
        <f>D76-D78</f>
        <v>260033228.37</v>
      </c>
      <c r="E77" s="330">
        <f t="shared" ref="E77:F77" si="31">E76-E78</f>
        <v>335298439.97000003</v>
      </c>
      <c r="F77" s="330">
        <f t="shared" si="31"/>
        <v>140539200</v>
      </c>
      <c r="G77" s="330">
        <f t="shared" si="25"/>
        <v>-75265211.600000024</v>
      </c>
      <c r="H77" s="251">
        <f t="shared" si="26"/>
        <v>0</v>
      </c>
      <c r="I77" s="251">
        <f t="shared" si="27"/>
        <v>1</v>
      </c>
      <c r="J77" s="291"/>
    </row>
    <row r="78" spans="1:11" x14ac:dyDescent="0.25">
      <c r="A78" s="282"/>
      <c r="B78" s="331" t="s">
        <v>430</v>
      </c>
      <c r="C78" s="320"/>
      <c r="D78" s="284"/>
      <c r="E78" s="284"/>
      <c r="F78" s="284"/>
      <c r="G78" s="330">
        <f t="shared" si="25"/>
        <v>0</v>
      </c>
      <c r="H78" s="251">
        <f t="shared" si="26"/>
        <v>0</v>
      </c>
      <c r="I78" s="251">
        <f t="shared" si="27"/>
        <v>0</v>
      </c>
      <c r="J78" s="291" t="s">
        <v>367</v>
      </c>
    </row>
    <row r="79" spans="1:11" ht="216.75" x14ac:dyDescent="0.25">
      <c r="A79" s="332"/>
      <c r="B79" s="231" t="s">
        <v>459</v>
      </c>
      <c r="C79" s="256" t="s">
        <v>460</v>
      </c>
      <c r="D79" s="333">
        <f>1153187312.02+540017964.04-84646327.93</f>
        <v>1608558948.1299999</v>
      </c>
      <c r="E79" s="275">
        <f>'Проверочная  таблица'!GY39</f>
        <v>1755961736.5300002</v>
      </c>
      <c r="F79" s="275">
        <f>'Проверочная  таблица'!HC39</f>
        <v>510159537.01999992</v>
      </c>
      <c r="G79" s="259">
        <f t="shared" si="25"/>
        <v>-147402788.40000033</v>
      </c>
      <c r="H79" s="251">
        <f t="shared" si="26"/>
        <v>0</v>
      </c>
      <c r="I79" s="251">
        <f t="shared" si="27"/>
        <v>1</v>
      </c>
    </row>
    <row r="80" spans="1:11" x14ac:dyDescent="0.25">
      <c r="A80" s="312"/>
      <c r="B80" s="313" t="s">
        <v>429</v>
      </c>
      <c r="C80" s="314"/>
      <c r="D80" s="316">
        <f>D79-D81</f>
        <v>1153187312.02</v>
      </c>
      <c r="E80" s="316">
        <f t="shared" ref="E80:F80" si="32">E79-E81</f>
        <v>1300590100.4200003</v>
      </c>
      <c r="F80" s="316">
        <f t="shared" si="32"/>
        <v>339341914.39999992</v>
      </c>
      <c r="G80" s="315">
        <f t="shared" si="25"/>
        <v>-147402788.40000033</v>
      </c>
      <c r="H80" s="251">
        <f t="shared" si="26"/>
        <v>0</v>
      </c>
      <c r="I80" s="251">
        <f t="shared" si="27"/>
        <v>1</v>
      </c>
    </row>
    <row r="81" spans="1:11" x14ac:dyDescent="0.25">
      <c r="A81" s="312"/>
      <c r="B81" s="313" t="s">
        <v>430</v>
      </c>
      <c r="C81" s="314"/>
      <c r="D81" s="334">
        <f>540017964.04-84646327.93</f>
        <v>455371636.10999995</v>
      </c>
      <c r="E81" s="1126">
        <f>D81</f>
        <v>455371636.10999995</v>
      </c>
      <c r="F81" s="334">
        <v>170817622.62</v>
      </c>
      <c r="G81" s="315">
        <f t="shared" si="25"/>
        <v>0</v>
      </c>
      <c r="H81" s="251">
        <f t="shared" si="26"/>
        <v>0</v>
      </c>
      <c r="I81" s="251">
        <f t="shared" si="27"/>
        <v>0</v>
      </c>
      <c r="J81" s="302" t="s">
        <v>367</v>
      </c>
    </row>
    <row r="82" spans="1:11" ht="229.5" x14ac:dyDescent="0.25">
      <c r="A82" s="332"/>
      <c r="B82" s="231" t="s">
        <v>461</v>
      </c>
      <c r="C82" s="256" t="s">
        <v>462</v>
      </c>
      <c r="D82" s="333">
        <f>222668000+748568125.63+84646327.93</f>
        <v>1055882453.5599999</v>
      </c>
      <c r="E82" s="275">
        <f>'Проверочная  таблица'!BI39</f>
        <v>467981942.56</v>
      </c>
      <c r="F82" s="275">
        <f>'Проверочная  таблица'!BK39</f>
        <v>66310013.819999993</v>
      </c>
      <c r="G82" s="259">
        <f t="shared" si="25"/>
        <v>587900511</v>
      </c>
      <c r="H82" s="251">
        <f t="shared" si="26"/>
        <v>0</v>
      </c>
      <c r="I82" s="251">
        <f t="shared" si="27"/>
        <v>0</v>
      </c>
    </row>
    <row r="83" spans="1:11" x14ac:dyDescent="0.25">
      <c r="A83" s="312"/>
      <c r="B83" s="313" t="s">
        <v>429</v>
      </c>
      <c r="C83" s="314"/>
      <c r="D83" s="315"/>
      <c r="E83" s="315"/>
      <c r="F83" s="315"/>
      <c r="G83" s="315">
        <v>0</v>
      </c>
      <c r="H83" s="251">
        <f t="shared" si="26"/>
        <v>0</v>
      </c>
      <c r="I83" s="251">
        <f t="shared" si="27"/>
        <v>0</v>
      </c>
    </row>
    <row r="84" spans="1:11" x14ac:dyDescent="0.25">
      <c r="A84" s="312"/>
      <c r="B84" s="313" t="s">
        <v>430</v>
      </c>
      <c r="C84" s="314"/>
      <c r="D84" s="315">
        <f>D82-D83</f>
        <v>1055882453.5599999</v>
      </c>
      <c r="E84" s="315">
        <f>E82-E83</f>
        <v>467981942.56</v>
      </c>
      <c r="F84" s="315">
        <f>F82-F83</f>
        <v>66310013.819999993</v>
      </c>
      <c r="G84" s="315">
        <f>G82-G83</f>
        <v>587900511</v>
      </c>
      <c r="H84" s="251">
        <f t="shared" si="26"/>
        <v>0</v>
      </c>
      <c r="I84" s="251">
        <f t="shared" si="27"/>
        <v>0</v>
      </c>
      <c r="K84" s="335"/>
    </row>
    <row r="85" spans="1:11" ht="178.5" x14ac:dyDescent="0.25">
      <c r="A85" s="332"/>
      <c r="B85" s="231" t="s">
        <v>463</v>
      </c>
      <c r="C85" s="256" t="s">
        <v>464</v>
      </c>
      <c r="D85" s="333">
        <f>526746500+27723500+300000000</f>
        <v>854470000</v>
      </c>
      <c r="E85" s="275">
        <f>'Прочая  субсидия_МР  и  ГО'!AD43</f>
        <v>710802577.0200001</v>
      </c>
      <c r="F85" s="275">
        <f>'Прочая  субсидия_МР  и  ГО'!AE43</f>
        <v>124885443.14</v>
      </c>
      <c r="G85" s="259">
        <f t="shared" ref="G85:G97" si="33">D85-E85</f>
        <v>143667422.9799999</v>
      </c>
      <c r="H85" s="251">
        <f>IF(F85&gt;E85,1,0)</f>
        <v>0</v>
      </c>
      <c r="I85" s="251">
        <f t="shared" si="27"/>
        <v>0</v>
      </c>
      <c r="K85" s="335"/>
    </row>
    <row r="86" spans="1:11" x14ac:dyDescent="0.25">
      <c r="A86" s="312"/>
      <c r="B86" s="313" t="s">
        <v>429</v>
      </c>
      <c r="C86" s="314"/>
      <c r="D86" s="315">
        <f>D85</f>
        <v>854470000</v>
      </c>
      <c r="E86" s="315">
        <f>E85</f>
        <v>710802577.0200001</v>
      </c>
      <c r="F86" s="315">
        <f>F85</f>
        <v>124885443.14</v>
      </c>
      <c r="G86" s="315">
        <f t="shared" si="33"/>
        <v>143667422.9799999</v>
      </c>
      <c r="H86" s="251">
        <f>IF(F86&gt;E86,1,0)</f>
        <v>0</v>
      </c>
      <c r="I86" s="251">
        <f t="shared" si="27"/>
        <v>0</v>
      </c>
    </row>
    <row r="87" spans="1:11" x14ac:dyDescent="0.25">
      <c r="A87" s="312"/>
      <c r="B87" s="313" t="s">
        <v>430</v>
      </c>
      <c r="C87" s="314"/>
      <c r="D87" s="315"/>
      <c r="E87" s="315"/>
      <c r="F87" s="315"/>
      <c r="G87" s="315">
        <f t="shared" si="33"/>
        <v>0</v>
      </c>
      <c r="H87" s="251">
        <f>IF(F87&gt;E87,1,0)</f>
        <v>0</v>
      </c>
      <c r="I87" s="251">
        <f t="shared" si="27"/>
        <v>0</v>
      </c>
    </row>
    <row r="88" spans="1:11" ht="178.5" x14ac:dyDescent="0.25">
      <c r="A88" s="332"/>
      <c r="B88" s="231" t="s">
        <v>465</v>
      </c>
      <c r="C88" s="256" t="s">
        <v>466</v>
      </c>
      <c r="D88" s="333">
        <v>150000000</v>
      </c>
      <c r="E88" s="275">
        <f>'Прочая  субсидия_МР  и  ГО'!AF43</f>
        <v>153729042.09999999</v>
      </c>
      <c r="F88" s="275">
        <f>'Прочая  субсидия_МР  и  ГО'!AG43</f>
        <v>115033663.19999999</v>
      </c>
      <c r="G88" s="259">
        <f t="shared" si="33"/>
        <v>-3729042.099999994</v>
      </c>
      <c r="H88" s="251">
        <f t="shared" ref="H88:H90" si="34">IF(F88&gt;E88,1,0)</f>
        <v>0</v>
      </c>
      <c r="I88" s="251">
        <f t="shared" si="27"/>
        <v>1</v>
      </c>
    </row>
    <row r="89" spans="1:11" x14ac:dyDescent="0.25">
      <c r="A89" s="312"/>
      <c r="B89" s="313" t="s">
        <v>429</v>
      </c>
      <c r="C89" s="314"/>
      <c r="D89" s="315"/>
      <c r="E89" s="315"/>
      <c r="F89" s="315"/>
      <c r="G89" s="315">
        <f t="shared" si="33"/>
        <v>0</v>
      </c>
      <c r="H89" s="251">
        <f t="shared" si="34"/>
        <v>0</v>
      </c>
      <c r="I89" s="251">
        <f t="shared" si="27"/>
        <v>0</v>
      </c>
    </row>
    <row r="90" spans="1:11" x14ac:dyDescent="0.25">
      <c r="A90" s="312"/>
      <c r="B90" s="313" t="s">
        <v>430</v>
      </c>
      <c r="C90" s="314"/>
      <c r="D90" s="315"/>
      <c r="E90" s="315"/>
      <c r="F90" s="315"/>
      <c r="G90" s="315">
        <f t="shared" si="33"/>
        <v>0</v>
      </c>
      <c r="H90" s="251">
        <f t="shared" si="34"/>
        <v>0</v>
      </c>
      <c r="I90" s="251">
        <f t="shared" si="27"/>
        <v>0</v>
      </c>
    </row>
    <row r="91" spans="1:11" x14ac:dyDescent="0.25">
      <c r="A91" s="312"/>
      <c r="B91" s="313" t="s">
        <v>447</v>
      </c>
      <c r="C91" s="314"/>
      <c r="D91" s="315">
        <f>D88</f>
        <v>150000000</v>
      </c>
      <c r="E91" s="315">
        <f t="shared" ref="E91:F91" si="35">E88</f>
        <v>153729042.09999999</v>
      </c>
      <c r="F91" s="315">
        <f t="shared" si="35"/>
        <v>115033663.19999999</v>
      </c>
      <c r="G91" s="315">
        <f t="shared" si="33"/>
        <v>-3729042.099999994</v>
      </c>
      <c r="H91" s="251"/>
      <c r="I91" s="251"/>
    </row>
    <row r="92" spans="1:11" ht="127.5" x14ac:dyDescent="0.25">
      <c r="A92" s="254"/>
      <c r="B92" s="280" t="s">
        <v>467</v>
      </c>
      <c r="C92" s="256" t="s">
        <v>468</v>
      </c>
      <c r="D92" s="279">
        <f>3729042.1+10734163.19+13315800+57946394.7</f>
        <v>85725399.99000001</v>
      </c>
      <c r="E92" s="275">
        <f>'Проверочная  таблица'!CY39</f>
        <v>56044391.100000001</v>
      </c>
      <c r="F92" s="275">
        <f>'Проверочная  таблица'!DF39</f>
        <v>11697924.83</v>
      </c>
      <c r="G92" s="259">
        <f t="shared" si="33"/>
        <v>29681008.890000008</v>
      </c>
      <c r="H92" s="251">
        <f t="shared" si="23"/>
        <v>0</v>
      </c>
      <c r="I92" s="251">
        <f t="shared" si="2"/>
        <v>0</v>
      </c>
      <c r="J92" s="317">
        <f>D92+D95</f>
        <v>1097265699.99</v>
      </c>
    </row>
    <row r="93" spans="1:11" x14ac:dyDescent="0.25">
      <c r="A93" s="312"/>
      <c r="B93" s="313" t="s">
        <v>429</v>
      </c>
      <c r="C93" s="314"/>
      <c r="D93" s="315"/>
      <c r="E93" s="315"/>
      <c r="F93" s="315"/>
      <c r="G93" s="315">
        <f t="shared" si="33"/>
        <v>0</v>
      </c>
      <c r="H93" s="251">
        <f t="shared" si="23"/>
        <v>0</v>
      </c>
      <c r="I93" s="251">
        <f t="shared" si="2"/>
        <v>0</v>
      </c>
    </row>
    <row r="94" spans="1:11" x14ac:dyDescent="0.25">
      <c r="A94" s="312"/>
      <c r="B94" s="313" t="s">
        <v>430</v>
      </c>
      <c r="C94" s="314"/>
      <c r="D94" s="315">
        <f>D92-D93</f>
        <v>85725399.99000001</v>
      </c>
      <c r="E94" s="315">
        <f>E92-E93</f>
        <v>56044391.100000001</v>
      </c>
      <c r="F94" s="315">
        <f>F92-F93</f>
        <v>11697924.83</v>
      </c>
      <c r="G94" s="315">
        <f t="shared" si="33"/>
        <v>29681008.890000008</v>
      </c>
      <c r="H94" s="251">
        <f t="shared" si="23"/>
        <v>0</v>
      </c>
      <c r="I94" s="251">
        <f t="shared" si="2"/>
        <v>0</v>
      </c>
      <c r="J94" s="336"/>
    </row>
    <row r="95" spans="1:11" x14ac:dyDescent="0.25">
      <c r="A95" s="282"/>
      <c r="B95" s="266" t="s">
        <v>398</v>
      </c>
      <c r="C95" s="283" t="s">
        <v>468</v>
      </c>
      <c r="D95" s="318">
        <f>15838100+203949100.38+253000000+449536799.62+89216300</f>
        <v>1011540300</v>
      </c>
      <c r="E95" s="269">
        <f>'Проверочная  таблица'!CZ39</f>
        <v>1011540300</v>
      </c>
      <c r="F95" s="269">
        <f>'Проверочная  таблица'!DG39</f>
        <v>222265057.01999998</v>
      </c>
      <c r="G95" s="270">
        <f t="shared" si="33"/>
        <v>0</v>
      </c>
      <c r="H95" s="251">
        <f t="shared" si="23"/>
        <v>0</v>
      </c>
      <c r="I95" s="251">
        <f t="shared" si="2"/>
        <v>0</v>
      </c>
      <c r="J95" s="336"/>
    </row>
    <row r="96" spans="1:11" x14ac:dyDescent="0.25">
      <c r="A96" s="282"/>
      <c r="B96" s="319" t="s">
        <v>429</v>
      </c>
      <c r="C96" s="320"/>
      <c r="D96" s="270"/>
      <c r="E96" s="270"/>
      <c r="F96" s="270"/>
      <c r="G96" s="270">
        <f t="shared" si="33"/>
        <v>0</v>
      </c>
      <c r="H96" s="251">
        <f t="shared" si="23"/>
        <v>0</v>
      </c>
      <c r="I96" s="251">
        <f t="shared" si="2"/>
        <v>0</v>
      </c>
    </row>
    <row r="97" spans="1:10" x14ac:dyDescent="0.25">
      <c r="A97" s="282"/>
      <c r="B97" s="319" t="s">
        <v>430</v>
      </c>
      <c r="C97" s="320"/>
      <c r="D97" s="270">
        <f>D95-D96</f>
        <v>1011540300</v>
      </c>
      <c r="E97" s="270">
        <f>E95-E96</f>
        <v>1011540300</v>
      </c>
      <c r="F97" s="270">
        <f>F95-F96</f>
        <v>222265057.01999998</v>
      </c>
      <c r="G97" s="270">
        <f t="shared" si="33"/>
        <v>0</v>
      </c>
      <c r="H97" s="251">
        <f t="shared" si="23"/>
        <v>0</v>
      </c>
      <c r="I97" s="251">
        <f t="shared" si="2"/>
        <v>0</v>
      </c>
    </row>
    <row r="98" spans="1:10" x14ac:dyDescent="0.25">
      <c r="A98" s="254"/>
      <c r="B98" s="280"/>
      <c r="C98" s="278"/>
      <c r="D98" s="279"/>
      <c r="E98" s="275"/>
      <c r="F98" s="275"/>
      <c r="G98" s="259"/>
      <c r="H98" s="251">
        <f t="shared" si="23"/>
        <v>0</v>
      </c>
      <c r="I98" s="251">
        <f t="shared" ref="I98:I165" si="36">IF(G98&lt;0,1,0)</f>
        <v>0</v>
      </c>
    </row>
    <row r="99" spans="1:10" ht="25.5" x14ac:dyDescent="0.25">
      <c r="A99" s="247" t="s">
        <v>469</v>
      </c>
      <c r="B99" s="248" t="s">
        <v>470</v>
      </c>
      <c r="C99" s="276"/>
      <c r="D99" s="277">
        <f>D108+D111+D104</f>
        <v>34380600</v>
      </c>
      <c r="E99" s="277">
        <f t="shared" ref="E99:G101" si="37">E108+E111+E104</f>
        <v>34380599.999999993</v>
      </c>
      <c r="F99" s="277">
        <f t="shared" si="37"/>
        <v>2143546.91</v>
      </c>
      <c r="G99" s="277">
        <f t="shared" si="37"/>
        <v>0</v>
      </c>
      <c r="H99" s="251">
        <f t="shared" si="23"/>
        <v>0</v>
      </c>
      <c r="I99" s="251">
        <f t="shared" si="36"/>
        <v>0</v>
      </c>
    </row>
    <row r="100" spans="1:10" x14ac:dyDescent="0.25">
      <c r="A100" s="306"/>
      <c r="B100" s="307" t="s">
        <v>429</v>
      </c>
      <c r="C100" s="308"/>
      <c r="D100" s="321">
        <f>D109+D112+D105</f>
        <v>34380600</v>
      </c>
      <c r="E100" s="321">
        <f t="shared" si="37"/>
        <v>34380599.999999993</v>
      </c>
      <c r="F100" s="321">
        <f t="shared" si="37"/>
        <v>2143546.91</v>
      </c>
      <c r="G100" s="321">
        <f t="shared" si="37"/>
        <v>0</v>
      </c>
      <c r="H100" s="251">
        <f t="shared" si="23"/>
        <v>0</v>
      </c>
      <c r="I100" s="251">
        <f t="shared" si="36"/>
        <v>0</v>
      </c>
    </row>
    <row r="101" spans="1:10" x14ac:dyDescent="0.25">
      <c r="A101" s="306"/>
      <c r="B101" s="307" t="s">
        <v>430</v>
      </c>
      <c r="C101" s="308"/>
      <c r="D101" s="321">
        <f>D110+D113+D106</f>
        <v>0</v>
      </c>
      <c r="E101" s="321">
        <f t="shared" si="37"/>
        <v>0</v>
      </c>
      <c r="F101" s="321">
        <f t="shared" si="37"/>
        <v>0</v>
      </c>
      <c r="G101" s="321">
        <f t="shared" si="37"/>
        <v>0</v>
      </c>
      <c r="H101" s="251">
        <f t="shared" si="23"/>
        <v>0</v>
      </c>
      <c r="I101" s="251">
        <f t="shared" si="36"/>
        <v>0</v>
      </c>
    </row>
    <row r="102" spans="1:10" x14ac:dyDescent="0.25">
      <c r="A102" s="306"/>
      <c r="B102" s="307" t="s">
        <v>447</v>
      </c>
      <c r="C102" s="308"/>
      <c r="D102" s="321">
        <f>D99-D100-D101</f>
        <v>0</v>
      </c>
      <c r="E102" s="321">
        <f t="shared" ref="E102:G102" si="38">E99-E100-E101</f>
        <v>0</v>
      </c>
      <c r="F102" s="321">
        <f t="shared" si="38"/>
        <v>0</v>
      </c>
      <c r="G102" s="321">
        <f t="shared" si="38"/>
        <v>0</v>
      </c>
      <c r="H102" s="251">
        <f t="shared" si="23"/>
        <v>0</v>
      </c>
      <c r="I102" s="251">
        <f t="shared" si="36"/>
        <v>0</v>
      </c>
    </row>
    <row r="103" spans="1:10" x14ac:dyDescent="0.25">
      <c r="A103" s="254"/>
      <c r="B103" s="240" t="s">
        <v>376</v>
      </c>
      <c r="C103" s="278"/>
      <c r="D103" s="279"/>
      <c r="E103" s="275"/>
      <c r="F103" s="275"/>
      <c r="G103" s="259"/>
      <c r="H103" s="251">
        <f t="shared" si="23"/>
        <v>0</v>
      </c>
      <c r="I103" s="251">
        <f t="shared" si="36"/>
        <v>0</v>
      </c>
    </row>
    <row r="104" spans="1:10" ht="216.75" hidden="1" x14ac:dyDescent="0.25">
      <c r="A104" s="337"/>
      <c r="B104" s="231" t="s">
        <v>471</v>
      </c>
      <c r="C104" s="256" t="s">
        <v>472</v>
      </c>
      <c r="D104" s="279"/>
      <c r="E104" s="275">
        <f>'Прочая  субсидия_МР  и  ГО'!AH43</f>
        <v>0</v>
      </c>
      <c r="F104" s="275">
        <f>'Прочая  субсидия_МР  и  ГО'!AI43</f>
        <v>0</v>
      </c>
      <c r="G104" s="259">
        <f t="shared" ref="G104:G110" si="39">D104-E104</f>
        <v>0</v>
      </c>
      <c r="H104" s="251">
        <f t="shared" si="23"/>
        <v>0</v>
      </c>
      <c r="I104" s="251">
        <f t="shared" si="36"/>
        <v>0</v>
      </c>
    </row>
    <row r="105" spans="1:10" hidden="1" x14ac:dyDescent="0.25">
      <c r="A105" s="312"/>
      <c r="B105" s="313" t="s">
        <v>429</v>
      </c>
      <c r="C105" s="314"/>
      <c r="D105" s="316"/>
      <c r="E105" s="316"/>
      <c r="F105" s="316"/>
      <c r="G105" s="315">
        <f t="shared" si="39"/>
        <v>0</v>
      </c>
      <c r="H105" s="251">
        <f t="shared" si="23"/>
        <v>0</v>
      </c>
      <c r="I105" s="251">
        <f t="shared" si="36"/>
        <v>0</v>
      </c>
    </row>
    <row r="106" spans="1:10" hidden="1" x14ac:dyDescent="0.25">
      <c r="A106" s="312"/>
      <c r="B106" s="313" t="s">
        <v>430</v>
      </c>
      <c r="C106" s="314"/>
      <c r="D106" s="315">
        <f>D104-D107</f>
        <v>0</v>
      </c>
      <c r="E106" s="315">
        <f t="shared" ref="E106:F106" si="40">E104-E107</f>
        <v>0</v>
      </c>
      <c r="F106" s="315">
        <f t="shared" si="40"/>
        <v>0</v>
      </c>
      <c r="G106" s="315">
        <f t="shared" si="39"/>
        <v>0</v>
      </c>
      <c r="H106" s="251">
        <f t="shared" si="23"/>
        <v>0</v>
      </c>
      <c r="I106" s="251">
        <f t="shared" si="36"/>
        <v>0</v>
      </c>
    </row>
    <row r="107" spans="1:10" hidden="1" x14ac:dyDescent="0.25">
      <c r="A107" s="338"/>
      <c r="B107" s="313" t="s">
        <v>447</v>
      </c>
      <c r="C107" s="314"/>
      <c r="D107" s="334"/>
      <c r="E107" s="339">
        <f>D107</f>
        <v>0</v>
      </c>
      <c r="F107" s="334"/>
      <c r="G107" s="315">
        <f t="shared" si="39"/>
        <v>0</v>
      </c>
      <c r="H107" s="251">
        <f t="shared" si="23"/>
        <v>0</v>
      </c>
      <c r="I107" s="251">
        <f t="shared" si="36"/>
        <v>0</v>
      </c>
      <c r="J107" s="302" t="s">
        <v>367</v>
      </c>
    </row>
    <row r="108" spans="1:10" ht="165.75" x14ac:dyDescent="0.25">
      <c r="A108" s="254"/>
      <c r="B108" s="280" t="s">
        <v>473</v>
      </c>
      <c r="C108" s="256" t="s">
        <v>474</v>
      </c>
      <c r="D108" s="279">
        <v>19680600</v>
      </c>
      <c r="E108" s="275">
        <f>'Прочая  субсидия_МР  и  ГО'!AV43</f>
        <v>19680599.999999996</v>
      </c>
      <c r="F108" s="275">
        <f>'Прочая  субсидия_МР  и  ГО'!AW43</f>
        <v>2143546.91</v>
      </c>
      <c r="G108" s="259">
        <f t="shared" si="39"/>
        <v>0</v>
      </c>
      <c r="H108" s="251">
        <f t="shared" si="23"/>
        <v>0</v>
      </c>
      <c r="I108" s="251">
        <f t="shared" si="36"/>
        <v>0</v>
      </c>
    </row>
    <row r="109" spans="1:10" x14ac:dyDescent="0.25">
      <c r="A109" s="312"/>
      <c r="B109" s="313" t="s">
        <v>429</v>
      </c>
      <c r="C109" s="314"/>
      <c r="D109" s="315">
        <f>D108</f>
        <v>19680600</v>
      </c>
      <c r="E109" s="315">
        <f>E108</f>
        <v>19680599.999999996</v>
      </c>
      <c r="F109" s="315">
        <f>F108</f>
        <v>2143546.91</v>
      </c>
      <c r="G109" s="315">
        <f t="shared" si="39"/>
        <v>0</v>
      </c>
      <c r="H109" s="251">
        <f t="shared" si="23"/>
        <v>0</v>
      </c>
      <c r="I109" s="251">
        <f t="shared" si="36"/>
        <v>0</v>
      </c>
    </row>
    <row r="110" spans="1:10" x14ac:dyDescent="0.25">
      <c r="A110" s="312"/>
      <c r="B110" s="313" t="s">
        <v>430</v>
      </c>
      <c r="C110" s="314"/>
      <c r="D110" s="315"/>
      <c r="E110" s="315"/>
      <c r="F110" s="315"/>
      <c r="G110" s="315">
        <f t="shared" si="39"/>
        <v>0</v>
      </c>
      <c r="H110" s="251">
        <f t="shared" si="23"/>
        <v>0</v>
      </c>
      <c r="I110" s="251">
        <f t="shared" si="36"/>
        <v>0</v>
      </c>
    </row>
    <row r="111" spans="1:10" ht="153" x14ac:dyDescent="0.25">
      <c r="A111" s="254"/>
      <c r="B111" s="280" t="s">
        <v>475</v>
      </c>
      <c r="C111" s="278" t="s">
        <v>476</v>
      </c>
      <c r="D111" s="279">
        <v>14700000</v>
      </c>
      <c r="E111" s="275">
        <f>'Прочая  субсидия_МР  и  ГО'!AX43</f>
        <v>14699999.999999998</v>
      </c>
      <c r="F111" s="275">
        <f>'Прочая  субсидия_МР  и  ГО'!AY43</f>
        <v>0</v>
      </c>
      <c r="G111" s="259">
        <f>D111-E111</f>
        <v>0</v>
      </c>
      <c r="H111" s="251">
        <f>IF(F111&gt;E111,1,0)</f>
        <v>0</v>
      </c>
      <c r="I111" s="251">
        <f>IF(G111&lt;0,1,0)</f>
        <v>0</v>
      </c>
    </row>
    <row r="112" spans="1:10" x14ac:dyDescent="0.25">
      <c r="A112" s="312"/>
      <c r="B112" s="313" t="s">
        <v>429</v>
      </c>
      <c r="C112" s="314"/>
      <c r="D112" s="315">
        <f>D111</f>
        <v>14700000</v>
      </c>
      <c r="E112" s="315">
        <f>E111</f>
        <v>14699999.999999998</v>
      </c>
      <c r="F112" s="315">
        <f>F111</f>
        <v>0</v>
      </c>
      <c r="G112" s="315">
        <f>D112-E112</f>
        <v>0</v>
      </c>
      <c r="H112" s="251">
        <f>IF(F112&gt;E112,1,0)</f>
        <v>0</v>
      </c>
      <c r="I112" s="251">
        <f>IF(G112&lt;0,1,0)</f>
        <v>0</v>
      </c>
    </row>
    <row r="113" spans="1:10" x14ac:dyDescent="0.25">
      <c r="A113" s="312"/>
      <c r="B113" s="313" t="s">
        <v>430</v>
      </c>
      <c r="C113" s="314"/>
      <c r="D113" s="315"/>
      <c r="E113" s="315"/>
      <c r="F113" s="315"/>
      <c r="G113" s="315">
        <f>D113-E113</f>
        <v>0</v>
      </c>
      <c r="H113" s="251">
        <f>IF(F113&gt;E113,1,0)</f>
        <v>0</v>
      </c>
      <c r="I113" s="251">
        <f>IF(G113&lt;0,1,0)</f>
        <v>0</v>
      </c>
    </row>
    <row r="114" spans="1:10" x14ac:dyDescent="0.25">
      <c r="A114" s="254"/>
      <c r="B114" s="280"/>
      <c r="C114" s="278"/>
      <c r="D114" s="279"/>
      <c r="E114" s="275"/>
      <c r="F114" s="275"/>
      <c r="G114" s="259"/>
      <c r="H114" s="251">
        <f t="shared" si="23"/>
        <v>0</v>
      </c>
      <c r="I114" s="251">
        <f t="shared" si="36"/>
        <v>0</v>
      </c>
    </row>
    <row r="115" spans="1:10" x14ac:dyDescent="0.25">
      <c r="A115" s="247" t="s">
        <v>477</v>
      </c>
      <c r="B115" s="248" t="s">
        <v>478</v>
      </c>
      <c r="C115" s="276"/>
      <c r="D115" s="277">
        <f t="shared" ref="D115:G117" si="41">D119+D122+D125+D128</f>
        <v>235304631.56999999</v>
      </c>
      <c r="E115" s="277">
        <f t="shared" si="41"/>
        <v>231051157.88999999</v>
      </c>
      <c r="F115" s="277">
        <f t="shared" si="41"/>
        <v>30421113.129999995</v>
      </c>
      <c r="G115" s="277">
        <f t="shared" si="41"/>
        <v>4253473.68</v>
      </c>
      <c r="H115" s="251">
        <f t="shared" si="23"/>
        <v>0</v>
      </c>
      <c r="I115" s="251">
        <f t="shared" si="36"/>
        <v>0</v>
      </c>
    </row>
    <row r="116" spans="1:10" x14ac:dyDescent="0.25">
      <c r="A116" s="306"/>
      <c r="B116" s="307" t="s">
        <v>429</v>
      </c>
      <c r="C116" s="308"/>
      <c r="D116" s="321">
        <f t="shared" si="41"/>
        <v>0</v>
      </c>
      <c r="E116" s="321">
        <f t="shared" si="41"/>
        <v>0</v>
      </c>
      <c r="F116" s="321">
        <f t="shared" si="41"/>
        <v>0</v>
      </c>
      <c r="G116" s="321">
        <f t="shared" si="41"/>
        <v>0</v>
      </c>
      <c r="H116" s="251">
        <f t="shared" si="23"/>
        <v>0</v>
      </c>
      <c r="I116" s="251">
        <f t="shared" si="36"/>
        <v>0</v>
      </c>
    </row>
    <row r="117" spans="1:10" x14ac:dyDescent="0.25">
      <c r="A117" s="306"/>
      <c r="B117" s="307" t="s">
        <v>430</v>
      </c>
      <c r="C117" s="308"/>
      <c r="D117" s="321">
        <f t="shared" si="41"/>
        <v>235304631.56999999</v>
      </c>
      <c r="E117" s="321">
        <f t="shared" si="41"/>
        <v>231051157.88999999</v>
      </c>
      <c r="F117" s="321">
        <f t="shared" si="41"/>
        <v>30421113.129999995</v>
      </c>
      <c r="G117" s="321">
        <f t="shared" si="41"/>
        <v>4253473.68</v>
      </c>
      <c r="H117" s="251">
        <f t="shared" si="23"/>
        <v>0</v>
      </c>
      <c r="I117" s="251">
        <f t="shared" si="36"/>
        <v>0</v>
      </c>
    </row>
    <row r="118" spans="1:10" x14ac:dyDescent="0.25">
      <c r="A118" s="254"/>
      <c r="B118" s="240" t="s">
        <v>376</v>
      </c>
      <c r="C118" s="278"/>
      <c r="D118" s="279"/>
      <c r="E118" s="275"/>
      <c r="F118" s="275"/>
      <c r="G118" s="259"/>
      <c r="H118" s="251">
        <f t="shared" si="23"/>
        <v>0</v>
      </c>
      <c r="I118" s="251">
        <f t="shared" si="36"/>
        <v>0</v>
      </c>
    </row>
    <row r="119" spans="1:10" ht="216.75" hidden="1" x14ac:dyDescent="0.25">
      <c r="A119" s="337"/>
      <c r="B119" s="255" t="s">
        <v>479</v>
      </c>
      <c r="C119" s="256" t="s">
        <v>480</v>
      </c>
      <c r="D119" s="333"/>
      <c r="E119" s="275">
        <f>'Проверочная  таблица'!BT39</f>
        <v>0</v>
      </c>
      <c r="F119" s="275">
        <f>'Проверочная  таблица'!BU39</f>
        <v>0</v>
      </c>
      <c r="G119" s="259">
        <f t="shared" ref="G119:G124" si="42">D119-E119</f>
        <v>0</v>
      </c>
      <c r="H119" s="251">
        <f t="shared" si="23"/>
        <v>0</v>
      </c>
      <c r="I119" s="251">
        <f t="shared" si="36"/>
        <v>0</v>
      </c>
    </row>
    <row r="120" spans="1:10" hidden="1" x14ac:dyDescent="0.25">
      <c r="A120" s="312"/>
      <c r="B120" s="313" t="s">
        <v>429</v>
      </c>
      <c r="C120" s="314"/>
      <c r="D120" s="340">
        <v>0</v>
      </c>
      <c r="E120" s="340">
        <v>0</v>
      </c>
      <c r="F120" s="340">
        <v>0</v>
      </c>
      <c r="G120" s="315">
        <f t="shared" si="42"/>
        <v>0</v>
      </c>
      <c r="H120" s="251">
        <f t="shared" si="23"/>
        <v>0</v>
      </c>
      <c r="I120" s="251">
        <f t="shared" si="36"/>
        <v>0</v>
      </c>
    </row>
    <row r="121" spans="1:10" hidden="1" x14ac:dyDescent="0.25">
      <c r="A121" s="312"/>
      <c r="B121" s="313" t="s">
        <v>430</v>
      </c>
      <c r="C121" s="314"/>
      <c r="D121" s="315">
        <f>D119-D120</f>
        <v>0</v>
      </c>
      <c r="E121" s="315">
        <f>E119-E120</f>
        <v>0</v>
      </c>
      <c r="F121" s="315">
        <f>F119-F120</f>
        <v>0</v>
      </c>
      <c r="G121" s="315">
        <f t="shared" si="42"/>
        <v>0</v>
      </c>
      <c r="H121" s="251">
        <f t="shared" si="23"/>
        <v>0</v>
      </c>
      <c r="I121" s="251">
        <f t="shared" si="36"/>
        <v>0</v>
      </c>
    </row>
    <row r="122" spans="1:10" ht="153" hidden="1" x14ac:dyDescent="0.25">
      <c r="A122" s="337"/>
      <c r="B122" s="280" t="s">
        <v>481</v>
      </c>
      <c r="C122" s="256" t="s">
        <v>482</v>
      </c>
      <c r="D122" s="333"/>
      <c r="E122" s="275">
        <f>'Проверочная  таблица'!CH39</f>
        <v>0</v>
      </c>
      <c r="F122" s="275">
        <f>'Проверочная  таблица'!CI39</f>
        <v>0</v>
      </c>
      <c r="G122" s="259">
        <f t="shared" si="42"/>
        <v>0</v>
      </c>
      <c r="H122" s="251">
        <f t="shared" si="23"/>
        <v>0</v>
      </c>
      <c r="I122" s="251">
        <f t="shared" si="36"/>
        <v>0</v>
      </c>
    </row>
    <row r="123" spans="1:10" hidden="1" x14ac:dyDescent="0.25">
      <c r="A123" s="312"/>
      <c r="B123" s="313" t="s">
        <v>429</v>
      </c>
      <c r="C123" s="314"/>
      <c r="D123" s="340"/>
      <c r="E123" s="340"/>
      <c r="F123" s="340"/>
      <c r="G123" s="315">
        <f t="shared" si="42"/>
        <v>0</v>
      </c>
      <c r="H123" s="251">
        <f t="shared" si="23"/>
        <v>0</v>
      </c>
      <c r="I123" s="251">
        <f t="shared" si="36"/>
        <v>0</v>
      </c>
    </row>
    <row r="124" spans="1:10" hidden="1" x14ac:dyDescent="0.25">
      <c r="A124" s="312"/>
      <c r="B124" s="313" t="s">
        <v>430</v>
      </c>
      <c r="C124" s="314"/>
      <c r="D124" s="315">
        <f>D122-D123</f>
        <v>0</v>
      </c>
      <c r="E124" s="315">
        <f>E122-E123</f>
        <v>0</v>
      </c>
      <c r="F124" s="315">
        <f>F122-F123</f>
        <v>0</v>
      </c>
      <c r="G124" s="315">
        <f t="shared" si="42"/>
        <v>0</v>
      </c>
      <c r="H124" s="251">
        <f t="shared" si="23"/>
        <v>0</v>
      </c>
      <c r="I124" s="251">
        <f t="shared" si="36"/>
        <v>0</v>
      </c>
    </row>
    <row r="125" spans="1:10" ht="280.5" x14ac:dyDescent="0.25">
      <c r="A125" s="254"/>
      <c r="B125" s="280" t="s">
        <v>483</v>
      </c>
      <c r="C125" s="256" t="s">
        <v>484</v>
      </c>
      <c r="D125" s="279">
        <f>11552557.89+4253473.68</f>
        <v>15806031.57</v>
      </c>
      <c r="E125" s="275">
        <f>'Проверочная  таблица'!SY39</f>
        <v>11552557.890000001</v>
      </c>
      <c r="F125" s="275">
        <f>'Проверочная  таблица'!TF39</f>
        <v>1521055.58</v>
      </c>
      <c r="G125" s="259">
        <f>D125-E125</f>
        <v>4253473.68</v>
      </c>
      <c r="H125" s="251">
        <f t="shared" ref="H125:H130" si="43">IF(F125&gt;E125,1,0)</f>
        <v>0</v>
      </c>
      <c r="I125" s="251">
        <f t="shared" si="36"/>
        <v>0</v>
      </c>
      <c r="J125" s="317">
        <f>D125+D128</f>
        <v>235304631.56999999</v>
      </c>
    </row>
    <row r="126" spans="1:10" x14ac:dyDescent="0.25">
      <c r="A126" s="312"/>
      <c r="B126" s="313" t="s">
        <v>429</v>
      </c>
      <c r="C126" s="314"/>
      <c r="D126" s="315"/>
      <c r="E126" s="315"/>
      <c r="F126" s="315"/>
      <c r="G126" s="315">
        <f>D126-E126</f>
        <v>0</v>
      </c>
      <c r="H126" s="251">
        <f t="shared" si="43"/>
        <v>0</v>
      </c>
      <c r="I126" s="251">
        <f t="shared" si="36"/>
        <v>0</v>
      </c>
    </row>
    <row r="127" spans="1:10" x14ac:dyDescent="0.25">
      <c r="A127" s="312"/>
      <c r="B127" s="313" t="s">
        <v>430</v>
      </c>
      <c r="C127" s="314"/>
      <c r="D127" s="315">
        <f>D125</f>
        <v>15806031.57</v>
      </c>
      <c r="E127" s="315">
        <f t="shared" ref="E127:F127" si="44">E125</f>
        <v>11552557.890000001</v>
      </c>
      <c r="F127" s="315">
        <f t="shared" si="44"/>
        <v>1521055.58</v>
      </c>
      <c r="G127" s="315">
        <f>D127-E127</f>
        <v>4253473.68</v>
      </c>
      <c r="H127" s="251">
        <f t="shared" si="43"/>
        <v>0</v>
      </c>
      <c r="I127" s="251">
        <f t="shared" si="36"/>
        <v>0</v>
      </c>
    </row>
    <row r="128" spans="1:10" x14ac:dyDescent="0.25">
      <c r="A128" s="282"/>
      <c r="B128" s="266" t="s">
        <v>398</v>
      </c>
      <c r="C128" s="283" t="s">
        <v>484</v>
      </c>
      <c r="D128" s="318">
        <v>219498600</v>
      </c>
      <c r="E128" s="269">
        <f>'Проверочная  таблица'!SZ39</f>
        <v>219498600</v>
      </c>
      <c r="F128" s="269">
        <f>'Проверочная  таблица'!TG39</f>
        <v>28900057.549999997</v>
      </c>
      <c r="G128" s="270">
        <f>D128-E128</f>
        <v>0</v>
      </c>
      <c r="H128" s="251">
        <f t="shared" si="43"/>
        <v>0</v>
      </c>
      <c r="I128" s="251">
        <f t="shared" si="36"/>
        <v>0</v>
      </c>
    </row>
    <row r="129" spans="1:10" x14ac:dyDescent="0.25">
      <c r="A129" s="282"/>
      <c r="B129" s="319" t="s">
        <v>429</v>
      </c>
      <c r="C129" s="320"/>
      <c r="D129" s="270"/>
      <c r="E129" s="270"/>
      <c r="F129" s="270"/>
      <c r="G129" s="270">
        <f>D129-E129</f>
        <v>0</v>
      </c>
      <c r="H129" s="251">
        <f t="shared" si="43"/>
        <v>0</v>
      </c>
      <c r="I129" s="251">
        <f t="shared" si="36"/>
        <v>0</v>
      </c>
    </row>
    <row r="130" spans="1:10" x14ac:dyDescent="0.25">
      <c r="A130" s="282"/>
      <c r="B130" s="319" t="s">
        <v>430</v>
      </c>
      <c r="C130" s="320"/>
      <c r="D130" s="270">
        <f>D128</f>
        <v>219498600</v>
      </c>
      <c r="E130" s="270">
        <f t="shared" ref="E130:G130" si="45">E128</f>
        <v>219498600</v>
      </c>
      <c r="F130" s="270">
        <f t="shared" si="45"/>
        <v>28900057.549999997</v>
      </c>
      <c r="G130" s="270">
        <f t="shared" si="45"/>
        <v>0</v>
      </c>
      <c r="H130" s="251">
        <f t="shared" si="43"/>
        <v>0</v>
      </c>
      <c r="I130" s="251">
        <f t="shared" si="36"/>
        <v>0</v>
      </c>
    </row>
    <row r="131" spans="1:10" x14ac:dyDescent="0.25">
      <c r="A131" s="254"/>
      <c r="B131" s="341"/>
      <c r="C131" s="342"/>
      <c r="D131" s="343"/>
      <c r="E131" s="343"/>
      <c r="F131" s="343"/>
      <c r="G131" s="343"/>
      <c r="H131" s="251"/>
      <c r="I131" s="251">
        <f t="shared" si="36"/>
        <v>0</v>
      </c>
    </row>
    <row r="132" spans="1:10" x14ac:dyDescent="0.25">
      <c r="A132" s="247" t="s">
        <v>485</v>
      </c>
      <c r="B132" s="248" t="s">
        <v>486</v>
      </c>
      <c r="C132" s="276"/>
      <c r="D132" s="277">
        <f>D178+D181+D163+D137+D140+D190+D193+D174+D159+D184+D187+D151+D155+D147+D170+D166+D143</f>
        <v>3785269602.9199996</v>
      </c>
      <c r="E132" s="277">
        <f>E178+E181+E163+E137+E140+E190+E193+E174+E159+E184+E187+E151+E155+E147+E170+E166+E143</f>
        <v>4773998019.0300007</v>
      </c>
      <c r="F132" s="277">
        <f>F178+F181+F163+F137+F140+F190+F193+F174+F159+F184+F187+F151+F155+F147+F170+F166+F143</f>
        <v>946789185.72999978</v>
      </c>
      <c r="G132" s="277">
        <f>G178+G181+G163+G137+G140+G190+G193+G174+G159+G184+G187+G151+G155+G147+G170+G166+G143</f>
        <v>-988728416.11000025</v>
      </c>
      <c r="H132" s="251">
        <f t="shared" ref="H132:H176" si="46">IF(F132&gt;E132,1,0)</f>
        <v>0</v>
      </c>
      <c r="I132" s="251">
        <f t="shared" si="36"/>
        <v>1</v>
      </c>
    </row>
    <row r="133" spans="1:10" x14ac:dyDescent="0.25">
      <c r="A133" s="306"/>
      <c r="B133" s="307" t="s">
        <v>429</v>
      </c>
      <c r="C133" s="308"/>
      <c r="D133" s="321">
        <f t="shared" ref="D133:G134" si="47">D164+D194+D191+D138+D179+D182+D141+D175+D160+D185+D188+D152+D156+D148+D171+D167+D144</f>
        <v>0</v>
      </c>
      <c r="E133" s="321">
        <f t="shared" si="47"/>
        <v>0</v>
      </c>
      <c r="F133" s="321">
        <f t="shared" si="47"/>
        <v>0</v>
      </c>
      <c r="G133" s="321">
        <f t="shared" si="47"/>
        <v>0</v>
      </c>
      <c r="H133" s="251">
        <f t="shared" si="46"/>
        <v>0</v>
      </c>
      <c r="I133" s="251">
        <f t="shared" si="36"/>
        <v>0</v>
      </c>
    </row>
    <row r="134" spans="1:10" x14ac:dyDescent="0.25">
      <c r="A134" s="306"/>
      <c r="B134" s="307" t="s">
        <v>430</v>
      </c>
      <c r="C134" s="308"/>
      <c r="D134" s="321">
        <f t="shared" si="47"/>
        <v>1413860687.46</v>
      </c>
      <c r="E134" s="321">
        <f t="shared" si="47"/>
        <v>1201508167.8000002</v>
      </c>
      <c r="F134" s="321">
        <f t="shared" si="47"/>
        <v>319412043.78999996</v>
      </c>
      <c r="G134" s="321">
        <f t="shared" si="47"/>
        <v>212352519.65999991</v>
      </c>
      <c r="H134" s="251">
        <f t="shared" si="46"/>
        <v>0</v>
      </c>
      <c r="I134" s="251">
        <f t="shared" si="36"/>
        <v>0</v>
      </c>
    </row>
    <row r="135" spans="1:10" x14ac:dyDescent="0.25">
      <c r="A135" s="306"/>
      <c r="B135" s="344" t="s">
        <v>447</v>
      </c>
      <c r="C135" s="308"/>
      <c r="D135" s="321">
        <f>D132-D133-D134</f>
        <v>2371408915.4599996</v>
      </c>
      <c r="E135" s="321">
        <f t="shared" ref="E135:G135" si="48">E132-E133-E134</f>
        <v>3572489851.2300005</v>
      </c>
      <c r="F135" s="321">
        <f t="shared" si="48"/>
        <v>627377141.93999982</v>
      </c>
      <c r="G135" s="321">
        <f t="shared" si="48"/>
        <v>-1201080935.7700002</v>
      </c>
      <c r="H135" s="251">
        <f t="shared" si="46"/>
        <v>0</v>
      </c>
      <c r="I135" s="251">
        <f t="shared" si="36"/>
        <v>1</v>
      </c>
    </row>
    <row r="136" spans="1:10" x14ac:dyDescent="0.25">
      <c r="A136" s="254"/>
      <c r="B136" s="240" t="s">
        <v>376</v>
      </c>
      <c r="C136" s="278"/>
      <c r="D136" s="279"/>
      <c r="E136" s="275"/>
      <c r="F136" s="275"/>
      <c r="G136" s="259"/>
      <c r="H136" s="251">
        <f t="shared" si="46"/>
        <v>0</v>
      </c>
      <c r="I136" s="251">
        <f t="shared" si="36"/>
        <v>0</v>
      </c>
    </row>
    <row r="137" spans="1:10" ht="153" x14ac:dyDescent="0.25">
      <c r="A137" s="254"/>
      <c r="B137" s="280" t="s">
        <v>487</v>
      </c>
      <c r="C137" s="256" t="s">
        <v>488</v>
      </c>
      <c r="D137" s="279">
        <v>6058780</v>
      </c>
      <c r="E137" s="275">
        <f>'Проверочная  таблица'!EW38</f>
        <v>6058780</v>
      </c>
      <c r="F137" s="275">
        <f>'Проверочная  таблица'!EZ38</f>
        <v>5480944.0999999996</v>
      </c>
      <c r="G137" s="259">
        <f t="shared" ref="G137:G147" si="49">D137-E137</f>
        <v>0</v>
      </c>
      <c r="H137" s="251">
        <f t="shared" si="46"/>
        <v>0</v>
      </c>
      <c r="I137" s="251">
        <f t="shared" si="36"/>
        <v>0</v>
      </c>
      <c r="J137" s="317">
        <f>D137+D140</f>
        <v>121175580</v>
      </c>
    </row>
    <row r="138" spans="1:10" x14ac:dyDescent="0.25">
      <c r="A138" s="312"/>
      <c r="B138" s="313" t="s">
        <v>429</v>
      </c>
      <c r="C138" s="314"/>
      <c r="D138" s="315"/>
      <c r="E138" s="315"/>
      <c r="F138" s="315"/>
      <c r="G138" s="315">
        <f t="shared" si="49"/>
        <v>0</v>
      </c>
      <c r="H138" s="251">
        <f t="shared" si="46"/>
        <v>0</v>
      </c>
      <c r="I138" s="251">
        <f t="shared" si="36"/>
        <v>0</v>
      </c>
    </row>
    <row r="139" spans="1:10" x14ac:dyDescent="0.25">
      <c r="A139" s="312"/>
      <c r="B139" s="313" t="s">
        <v>430</v>
      </c>
      <c r="C139" s="314"/>
      <c r="D139" s="315">
        <f>D137-D138</f>
        <v>6058780</v>
      </c>
      <c r="E139" s="315">
        <f>E137-E138</f>
        <v>6058780</v>
      </c>
      <c r="F139" s="315">
        <f>F137-F138</f>
        <v>5480944.0999999996</v>
      </c>
      <c r="G139" s="315">
        <f t="shared" si="49"/>
        <v>0</v>
      </c>
      <c r="H139" s="251">
        <f t="shared" si="46"/>
        <v>0</v>
      </c>
      <c r="I139" s="251">
        <f t="shared" si="36"/>
        <v>0</v>
      </c>
    </row>
    <row r="140" spans="1:10" x14ac:dyDescent="0.25">
      <c r="A140" s="282"/>
      <c r="B140" s="266" t="s">
        <v>398</v>
      </c>
      <c r="C140" s="283" t="s">
        <v>488</v>
      </c>
      <c r="D140" s="318">
        <v>115116800</v>
      </c>
      <c r="E140" s="269">
        <f>'Проверочная  таблица'!EX38</f>
        <v>197611636.71000001</v>
      </c>
      <c r="F140" s="269">
        <f>'Проверочная  таблица'!FA38</f>
        <v>104137919.87</v>
      </c>
      <c r="G140" s="270">
        <f t="shared" si="49"/>
        <v>-82494836.710000008</v>
      </c>
      <c r="H140" s="251">
        <f t="shared" si="46"/>
        <v>0</v>
      </c>
      <c r="I140" s="251">
        <f t="shared" si="36"/>
        <v>1</v>
      </c>
    </row>
    <row r="141" spans="1:10" x14ac:dyDescent="0.25">
      <c r="A141" s="282"/>
      <c r="B141" s="319" t="s">
        <v>429</v>
      </c>
      <c r="C141" s="320"/>
      <c r="D141" s="270"/>
      <c r="E141" s="270"/>
      <c r="F141" s="270"/>
      <c r="G141" s="270">
        <f t="shared" si="49"/>
        <v>0</v>
      </c>
      <c r="H141" s="251">
        <f t="shared" si="46"/>
        <v>0</v>
      </c>
      <c r="I141" s="251">
        <f t="shared" si="36"/>
        <v>0</v>
      </c>
    </row>
    <row r="142" spans="1:10" x14ac:dyDescent="0.25">
      <c r="A142" s="282"/>
      <c r="B142" s="319" t="s">
        <v>430</v>
      </c>
      <c r="C142" s="320"/>
      <c r="D142" s="270">
        <f>D140-D141</f>
        <v>115116800</v>
      </c>
      <c r="E142" s="270">
        <f>E140-E141</f>
        <v>197611636.71000001</v>
      </c>
      <c r="F142" s="270">
        <f>F140-F141</f>
        <v>104137919.87</v>
      </c>
      <c r="G142" s="270">
        <f t="shared" si="49"/>
        <v>-82494836.710000008</v>
      </c>
      <c r="H142" s="251">
        <f t="shared" si="46"/>
        <v>0</v>
      </c>
      <c r="I142" s="251">
        <f t="shared" si="36"/>
        <v>1</v>
      </c>
    </row>
    <row r="143" spans="1:10" ht="178.5" x14ac:dyDescent="0.25">
      <c r="A143" s="1063"/>
      <c r="B143" s="1085" t="s">
        <v>1297</v>
      </c>
      <c r="C143" s="256" t="s">
        <v>1295</v>
      </c>
      <c r="D143" s="279">
        <v>37759000</v>
      </c>
      <c r="E143" s="275">
        <f>'Проверочная  таблица'!CC38</f>
        <v>903434729.78000009</v>
      </c>
      <c r="F143" s="275">
        <f>'Проверочная  таблица'!CF38</f>
        <v>0</v>
      </c>
      <c r="G143" s="259">
        <f t="shared" ref="G143" si="50">D143-E143</f>
        <v>-865675729.78000009</v>
      </c>
      <c r="H143" s="251">
        <f t="shared" ref="H143:H146" si="51">IF(F143&gt;E143,1,0)</f>
        <v>0</v>
      </c>
      <c r="I143" s="251">
        <f t="shared" ref="I143:I146" si="52">IF(G143&lt;0,1,0)</f>
        <v>1</v>
      </c>
      <c r="J143" s="303"/>
    </row>
    <row r="144" spans="1:10" x14ac:dyDescent="0.25">
      <c r="A144" s="312"/>
      <c r="B144" s="313" t="s">
        <v>429</v>
      </c>
      <c r="C144" s="314"/>
      <c r="D144" s="315"/>
      <c r="E144" s="315"/>
      <c r="F144" s="315"/>
      <c r="G144" s="315"/>
      <c r="H144" s="251">
        <f t="shared" si="51"/>
        <v>0</v>
      </c>
      <c r="I144" s="251">
        <f t="shared" si="52"/>
        <v>0</v>
      </c>
      <c r="J144" s="303"/>
    </row>
    <row r="145" spans="1:10" x14ac:dyDescent="0.25">
      <c r="A145" s="312"/>
      <c r="B145" s="313" t="s">
        <v>430</v>
      </c>
      <c r="C145" s="314"/>
      <c r="D145" s="315"/>
      <c r="E145" s="315"/>
      <c r="F145" s="315"/>
      <c r="G145" s="315"/>
      <c r="H145" s="251">
        <f t="shared" si="51"/>
        <v>0</v>
      </c>
      <c r="I145" s="251">
        <f t="shared" si="52"/>
        <v>0</v>
      </c>
      <c r="J145" s="303"/>
    </row>
    <row r="146" spans="1:10" x14ac:dyDescent="0.25">
      <c r="A146" s="312"/>
      <c r="B146" s="313" t="s">
        <v>447</v>
      </c>
      <c r="C146" s="314"/>
      <c r="D146" s="315">
        <f>D143</f>
        <v>37759000</v>
      </c>
      <c r="E146" s="315">
        <f t="shared" ref="E146:G146" si="53">E143</f>
        <v>903434729.78000009</v>
      </c>
      <c r="F146" s="315">
        <f t="shared" si="53"/>
        <v>0</v>
      </c>
      <c r="G146" s="315">
        <f t="shared" si="53"/>
        <v>-865675729.78000009</v>
      </c>
      <c r="H146" s="251">
        <f t="shared" si="51"/>
        <v>0</v>
      </c>
      <c r="I146" s="251">
        <f t="shared" si="52"/>
        <v>1</v>
      </c>
      <c r="J146" s="303"/>
    </row>
    <row r="147" spans="1:10" ht="178.5" x14ac:dyDescent="0.25">
      <c r="A147" s="254"/>
      <c r="B147" s="280" t="s">
        <v>489</v>
      </c>
      <c r="C147" s="256" t="s">
        <v>490</v>
      </c>
      <c r="D147" s="279">
        <f>335941000-20265000</f>
        <v>315676000</v>
      </c>
      <c r="E147" s="275">
        <f>'Проверочная  таблица'!CD38</f>
        <v>315676000</v>
      </c>
      <c r="F147" s="275">
        <f>'Проверочная  таблица'!CG38</f>
        <v>3599000</v>
      </c>
      <c r="G147" s="259">
        <f t="shared" si="49"/>
        <v>0</v>
      </c>
      <c r="H147" s="251">
        <f t="shared" si="46"/>
        <v>0</v>
      </c>
      <c r="I147" s="251">
        <f t="shared" si="36"/>
        <v>0</v>
      </c>
      <c r="J147" s="303"/>
    </row>
    <row r="148" spans="1:10" x14ac:dyDescent="0.25">
      <c r="A148" s="312"/>
      <c r="B148" s="313" t="s">
        <v>429</v>
      </c>
      <c r="C148" s="314"/>
      <c r="D148" s="315"/>
      <c r="E148" s="315"/>
      <c r="F148" s="315"/>
      <c r="G148" s="315"/>
      <c r="H148" s="251">
        <f t="shared" si="46"/>
        <v>0</v>
      </c>
      <c r="I148" s="251">
        <f t="shared" si="36"/>
        <v>0</v>
      </c>
      <c r="J148" s="303"/>
    </row>
    <row r="149" spans="1:10" x14ac:dyDescent="0.25">
      <c r="A149" s="312"/>
      <c r="B149" s="313" t="s">
        <v>430</v>
      </c>
      <c r="C149" s="314"/>
      <c r="D149" s="315"/>
      <c r="E149" s="315"/>
      <c r="F149" s="315"/>
      <c r="G149" s="315"/>
      <c r="H149" s="251">
        <f t="shared" si="46"/>
        <v>0</v>
      </c>
      <c r="I149" s="251">
        <f t="shared" si="36"/>
        <v>0</v>
      </c>
      <c r="J149" s="303"/>
    </row>
    <row r="150" spans="1:10" x14ac:dyDescent="0.25">
      <c r="A150" s="312"/>
      <c r="B150" s="313" t="s">
        <v>447</v>
      </c>
      <c r="C150" s="314"/>
      <c r="D150" s="315">
        <f>D147</f>
        <v>315676000</v>
      </c>
      <c r="E150" s="315">
        <f t="shared" ref="E150:G150" si="54">E147</f>
        <v>315676000</v>
      </c>
      <c r="F150" s="315">
        <f t="shared" si="54"/>
        <v>3599000</v>
      </c>
      <c r="G150" s="315">
        <f t="shared" si="54"/>
        <v>0</v>
      </c>
      <c r="H150" s="251">
        <f t="shared" si="46"/>
        <v>0</v>
      </c>
      <c r="I150" s="251">
        <f t="shared" si="36"/>
        <v>0</v>
      </c>
      <c r="J150" s="303"/>
    </row>
    <row r="151" spans="1:10" ht="153" x14ac:dyDescent="0.25">
      <c r="A151" s="332"/>
      <c r="B151" s="231" t="s">
        <v>491</v>
      </c>
      <c r="C151" s="256" t="s">
        <v>492</v>
      </c>
      <c r="D151" s="279">
        <v>25590065.600000001</v>
      </c>
      <c r="E151" s="275">
        <f>'Проверочная  таблица'!CQ38</f>
        <v>251003026.90000001</v>
      </c>
      <c r="F151" s="275">
        <f>'Проверочная  таблица'!CT38</f>
        <v>0</v>
      </c>
      <c r="G151" s="259">
        <f t="shared" ref="G151" si="55">D151-E151</f>
        <v>-225412961.30000001</v>
      </c>
      <c r="H151" s="251">
        <f t="shared" si="46"/>
        <v>0</v>
      </c>
      <c r="I151" s="251">
        <f t="shared" si="36"/>
        <v>1</v>
      </c>
      <c r="J151" s="291"/>
    </row>
    <row r="152" spans="1:10" x14ac:dyDescent="0.25">
      <c r="A152" s="312"/>
      <c r="B152" s="324" t="s">
        <v>429</v>
      </c>
      <c r="C152" s="314"/>
      <c r="D152" s="345"/>
      <c r="E152" s="345"/>
      <c r="F152" s="345"/>
      <c r="G152" s="325">
        <f>D152-E152</f>
        <v>0</v>
      </c>
      <c r="H152" s="251">
        <f t="shared" si="46"/>
        <v>0</v>
      </c>
      <c r="I152" s="251">
        <f t="shared" si="36"/>
        <v>0</v>
      </c>
      <c r="J152" s="291"/>
    </row>
    <row r="153" spans="1:10" x14ac:dyDescent="0.25">
      <c r="A153" s="312"/>
      <c r="B153" s="324" t="s">
        <v>430</v>
      </c>
      <c r="C153" s="314"/>
      <c r="D153" s="325"/>
      <c r="E153" s="325"/>
      <c r="F153" s="325"/>
      <c r="G153" s="325">
        <f>D153-E153</f>
        <v>0</v>
      </c>
      <c r="H153" s="251">
        <f t="shared" si="46"/>
        <v>0</v>
      </c>
      <c r="I153" s="251">
        <f t="shared" si="36"/>
        <v>0</v>
      </c>
      <c r="J153" s="291"/>
    </row>
    <row r="154" spans="1:10" x14ac:dyDescent="0.25">
      <c r="A154" s="312"/>
      <c r="B154" s="324" t="s">
        <v>447</v>
      </c>
      <c r="C154" s="314"/>
      <c r="D154" s="325">
        <f>D151</f>
        <v>25590065.600000001</v>
      </c>
      <c r="E154" s="325">
        <f t="shared" ref="E154:F154" si="56">E151</f>
        <v>251003026.90000001</v>
      </c>
      <c r="F154" s="325">
        <f t="shared" si="56"/>
        <v>0</v>
      </c>
      <c r="G154" s="325">
        <f>D154-E154</f>
        <v>-225412961.30000001</v>
      </c>
      <c r="H154" s="251">
        <f t="shared" si="46"/>
        <v>0</v>
      </c>
      <c r="I154" s="251">
        <f t="shared" si="36"/>
        <v>1</v>
      </c>
      <c r="J154" s="291"/>
    </row>
    <row r="155" spans="1:10" ht="153" x14ac:dyDescent="0.25">
      <c r="A155" s="332"/>
      <c r="B155" s="231" t="s">
        <v>493</v>
      </c>
      <c r="C155" s="256" t="s">
        <v>494</v>
      </c>
      <c r="D155" s="279">
        <f>220534686.45-16685866</f>
        <v>203848820.44999999</v>
      </c>
      <c r="E155" s="275">
        <f>'Проверочная  таблица'!CR38</f>
        <v>197889369.26000002</v>
      </c>
      <c r="F155" s="275">
        <f>'Проверочная  таблица'!CU38</f>
        <v>1698440.66</v>
      </c>
      <c r="G155" s="259">
        <f t="shared" ref="G155:G170" si="57">D155-E155</f>
        <v>5959451.1899999678</v>
      </c>
      <c r="H155" s="251">
        <f t="shared" si="46"/>
        <v>0</v>
      </c>
      <c r="I155" s="251">
        <f t="shared" si="36"/>
        <v>0</v>
      </c>
      <c r="J155" s="291"/>
    </row>
    <row r="156" spans="1:10" x14ac:dyDescent="0.25">
      <c r="A156" s="312"/>
      <c r="B156" s="324" t="s">
        <v>429</v>
      </c>
      <c r="C156" s="314"/>
      <c r="D156" s="345"/>
      <c r="E156" s="345"/>
      <c r="F156" s="345"/>
      <c r="G156" s="325">
        <f t="shared" si="57"/>
        <v>0</v>
      </c>
      <c r="H156" s="251">
        <f t="shared" si="46"/>
        <v>0</v>
      </c>
      <c r="I156" s="251">
        <f t="shared" si="36"/>
        <v>0</v>
      </c>
      <c r="J156" s="291"/>
    </row>
    <row r="157" spans="1:10" x14ac:dyDescent="0.25">
      <c r="A157" s="312"/>
      <c r="B157" s="324" t="s">
        <v>430</v>
      </c>
      <c r="C157" s="314"/>
      <c r="D157" s="325"/>
      <c r="E157" s="325"/>
      <c r="F157" s="325"/>
      <c r="G157" s="325">
        <f t="shared" si="57"/>
        <v>0</v>
      </c>
      <c r="H157" s="251">
        <f t="shared" si="46"/>
        <v>0</v>
      </c>
      <c r="I157" s="251">
        <f t="shared" si="36"/>
        <v>0</v>
      </c>
      <c r="J157" s="291"/>
    </row>
    <row r="158" spans="1:10" x14ac:dyDescent="0.25">
      <c r="A158" s="338"/>
      <c r="B158" s="324" t="s">
        <v>447</v>
      </c>
      <c r="C158" s="314"/>
      <c r="D158" s="325">
        <f>D155</f>
        <v>203848820.44999999</v>
      </c>
      <c r="E158" s="325">
        <f t="shared" ref="E158:F158" si="58">E155</f>
        <v>197889369.26000002</v>
      </c>
      <c r="F158" s="325">
        <f t="shared" si="58"/>
        <v>1698440.66</v>
      </c>
      <c r="G158" s="325">
        <f t="shared" si="57"/>
        <v>5959451.1899999678</v>
      </c>
      <c r="H158" s="251">
        <f t="shared" si="46"/>
        <v>0</v>
      </c>
      <c r="I158" s="251">
        <f t="shared" si="36"/>
        <v>0</v>
      </c>
      <c r="J158" s="291"/>
    </row>
    <row r="159" spans="1:10" ht="153" x14ac:dyDescent="0.25">
      <c r="A159" s="332"/>
      <c r="B159" s="231" t="s">
        <v>495</v>
      </c>
      <c r="C159" s="256" t="s">
        <v>496</v>
      </c>
      <c r="D159" s="279">
        <f>48483674.7+73238796.01+19000000</f>
        <v>140722470.71000001</v>
      </c>
      <c r="E159" s="275">
        <f>'Прочая  субсидия_МР  и  ГО'!V43</f>
        <v>140722470.71000001</v>
      </c>
      <c r="F159" s="275">
        <f>'Прочая  субсидия_МР  и  ГО'!W43</f>
        <v>49383927.240000002</v>
      </c>
      <c r="G159" s="259">
        <f t="shared" si="57"/>
        <v>0</v>
      </c>
      <c r="H159" s="251">
        <f t="shared" si="46"/>
        <v>0</v>
      </c>
      <c r="I159" s="251">
        <f t="shared" si="36"/>
        <v>0</v>
      </c>
      <c r="J159" s="291"/>
    </row>
    <row r="160" spans="1:10" x14ac:dyDescent="0.25">
      <c r="A160" s="312"/>
      <c r="B160" s="324" t="s">
        <v>429</v>
      </c>
      <c r="C160" s="314"/>
      <c r="D160" s="345"/>
      <c r="E160" s="345"/>
      <c r="F160" s="345"/>
      <c r="G160" s="325">
        <f t="shared" si="57"/>
        <v>0</v>
      </c>
      <c r="H160" s="251">
        <f t="shared" si="46"/>
        <v>0</v>
      </c>
      <c r="I160" s="251">
        <f t="shared" si="36"/>
        <v>0</v>
      </c>
      <c r="J160" s="291"/>
    </row>
    <row r="161" spans="1:10" x14ac:dyDescent="0.25">
      <c r="A161" s="312"/>
      <c r="B161" s="324" t="s">
        <v>430</v>
      </c>
      <c r="C161" s="314"/>
      <c r="D161" s="325"/>
      <c r="E161" s="325"/>
      <c r="F161" s="325"/>
      <c r="G161" s="325">
        <f t="shared" si="57"/>
        <v>0</v>
      </c>
      <c r="H161" s="251">
        <f t="shared" si="46"/>
        <v>0</v>
      </c>
      <c r="I161" s="251">
        <f t="shared" si="36"/>
        <v>0</v>
      </c>
      <c r="J161" s="291"/>
    </row>
    <row r="162" spans="1:10" x14ac:dyDescent="0.25">
      <c r="A162" s="312"/>
      <c r="B162" s="324" t="s">
        <v>447</v>
      </c>
      <c r="C162" s="314"/>
      <c r="D162" s="325">
        <f>D159</f>
        <v>140722470.71000001</v>
      </c>
      <c r="E162" s="325">
        <f t="shared" ref="E162:F162" si="59">E159</f>
        <v>140722470.71000001</v>
      </c>
      <c r="F162" s="325">
        <f t="shared" si="59"/>
        <v>49383927.240000002</v>
      </c>
      <c r="G162" s="325">
        <f t="shared" si="57"/>
        <v>0</v>
      </c>
      <c r="H162" s="251">
        <f t="shared" si="46"/>
        <v>0</v>
      </c>
      <c r="I162" s="251">
        <f t="shared" si="36"/>
        <v>0</v>
      </c>
      <c r="J162" s="291"/>
    </row>
    <row r="163" spans="1:10" ht="178.5" x14ac:dyDescent="0.25">
      <c r="A163" s="254"/>
      <c r="B163" s="280" t="s">
        <v>497</v>
      </c>
      <c r="C163" s="256" t="s">
        <v>498</v>
      </c>
      <c r="D163" s="279">
        <f>746047146.43+119628583.35+71340000+56076923.58+299000</f>
        <v>993391653.36000001</v>
      </c>
      <c r="E163" s="275">
        <f>'Проверочная  таблица'!AQ38</f>
        <v>865675729.78000009</v>
      </c>
      <c r="F163" s="275">
        <f>'Проверочная  таблица'!AT38</f>
        <v>141584288.18999997</v>
      </c>
      <c r="G163" s="259">
        <f t="shared" si="57"/>
        <v>127715923.57999992</v>
      </c>
      <c r="H163" s="251">
        <f t="shared" si="46"/>
        <v>0</v>
      </c>
      <c r="I163" s="251">
        <f t="shared" si="36"/>
        <v>0</v>
      </c>
      <c r="J163" s="317"/>
    </row>
    <row r="164" spans="1:10" x14ac:dyDescent="0.25">
      <c r="A164" s="312"/>
      <c r="B164" s="313" t="s">
        <v>429</v>
      </c>
      <c r="C164" s="314"/>
      <c r="D164" s="315"/>
      <c r="E164" s="315"/>
      <c r="F164" s="315"/>
      <c r="G164" s="315">
        <f t="shared" si="57"/>
        <v>0</v>
      </c>
      <c r="H164" s="251">
        <f t="shared" si="46"/>
        <v>0</v>
      </c>
      <c r="I164" s="251">
        <f t="shared" si="36"/>
        <v>0</v>
      </c>
    </row>
    <row r="165" spans="1:10" x14ac:dyDescent="0.25">
      <c r="A165" s="312"/>
      <c r="B165" s="313" t="s">
        <v>430</v>
      </c>
      <c r="C165" s="314"/>
      <c r="D165" s="315">
        <f>D163-D164</f>
        <v>993391653.36000001</v>
      </c>
      <c r="E165" s="315">
        <f>E163-E164</f>
        <v>865675729.78000009</v>
      </c>
      <c r="F165" s="315">
        <f>F163-F164</f>
        <v>141584288.18999997</v>
      </c>
      <c r="G165" s="315">
        <f t="shared" si="57"/>
        <v>127715923.57999992</v>
      </c>
      <c r="H165" s="251">
        <f t="shared" si="46"/>
        <v>0</v>
      </c>
      <c r="I165" s="251">
        <f t="shared" si="36"/>
        <v>0</v>
      </c>
    </row>
    <row r="166" spans="1:10" ht="178.5" x14ac:dyDescent="0.25">
      <c r="A166" s="1022"/>
      <c r="B166" s="346" t="s">
        <v>1281</v>
      </c>
      <c r="C166" s="256" t="s">
        <v>1280</v>
      </c>
      <c r="D166" s="279">
        <v>360000000</v>
      </c>
      <c r="E166" s="1024">
        <f>'Прочая  субсидия_МР  и  ГО'!X33</f>
        <v>361012337.62</v>
      </c>
      <c r="F166" s="1024">
        <f>'Прочая  субсидия_МР  и  ГО'!Y33</f>
        <v>305562281.93000001</v>
      </c>
      <c r="G166" s="259">
        <f t="shared" ref="G166" si="60">D166-E166</f>
        <v>-1012337.6200000048</v>
      </c>
      <c r="H166" s="251">
        <f t="shared" ref="H166:H168" si="61">IF(F166&gt;E166,1,0)</f>
        <v>0</v>
      </c>
      <c r="I166" s="251">
        <f t="shared" ref="I166:I168" si="62">IF(G166&lt;0,1,0)</f>
        <v>1</v>
      </c>
    </row>
    <row r="167" spans="1:10" x14ac:dyDescent="0.25">
      <c r="A167" s="312"/>
      <c r="B167" s="313" t="s">
        <v>429</v>
      </c>
      <c r="C167" s="314"/>
      <c r="D167" s="315"/>
      <c r="E167" s="315"/>
      <c r="F167" s="315"/>
      <c r="G167" s="315"/>
      <c r="H167" s="251">
        <f t="shared" si="61"/>
        <v>0</v>
      </c>
      <c r="I167" s="251">
        <f t="shared" si="62"/>
        <v>0</v>
      </c>
    </row>
    <row r="168" spans="1:10" x14ac:dyDescent="0.25">
      <c r="A168" s="312"/>
      <c r="B168" s="313" t="s">
        <v>430</v>
      </c>
      <c r="C168" s="314"/>
      <c r="D168" s="315"/>
      <c r="E168" s="315"/>
      <c r="F168" s="315"/>
      <c r="G168" s="315"/>
      <c r="H168" s="251">
        <f t="shared" si="61"/>
        <v>0</v>
      </c>
      <c r="I168" s="251">
        <f t="shared" si="62"/>
        <v>0</v>
      </c>
    </row>
    <row r="169" spans="1:10" x14ac:dyDescent="0.25">
      <c r="A169" s="338"/>
      <c r="B169" s="313" t="s">
        <v>447</v>
      </c>
      <c r="C169" s="314"/>
      <c r="D169" s="315">
        <f>D166</f>
        <v>360000000</v>
      </c>
      <c r="E169" s="315">
        <f t="shared" ref="E169:G169" si="63">E166</f>
        <v>361012337.62</v>
      </c>
      <c r="F169" s="315">
        <f t="shared" si="63"/>
        <v>305562281.93000001</v>
      </c>
      <c r="G169" s="315">
        <f t="shared" si="63"/>
        <v>-1012337.6200000048</v>
      </c>
      <c r="H169" s="251"/>
      <c r="I169" s="251"/>
    </row>
    <row r="170" spans="1:10" ht="191.25" x14ac:dyDescent="0.25">
      <c r="A170" s="254"/>
      <c r="B170" s="346" t="s">
        <v>499</v>
      </c>
      <c r="C170" s="256" t="s">
        <v>500</v>
      </c>
      <c r="D170" s="279">
        <f>225412961.3+440147472.1</f>
        <v>665560433.4000001</v>
      </c>
      <c r="E170" s="275">
        <f>'Прочая  субсидия_МР  и  ГО'!Z43</f>
        <v>783229791.67000008</v>
      </c>
      <c r="F170" s="275">
        <f>'Прочая  субсидия_МР  и  ГО'!AA43</f>
        <v>26217353.300000001</v>
      </c>
      <c r="G170" s="259">
        <f t="shared" si="57"/>
        <v>-117669358.26999998</v>
      </c>
      <c r="H170" s="251">
        <f t="shared" si="46"/>
        <v>0</v>
      </c>
      <c r="I170" s="251">
        <f t="shared" ref="I170:I172" si="64">IF(G170&lt;0,1,0)</f>
        <v>1</v>
      </c>
    </row>
    <row r="171" spans="1:10" x14ac:dyDescent="0.25">
      <c r="A171" s="312"/>
      <c r="B171" s="313" t="s">
        <v>429</v>
      </c>
      <c r="C171" s="314"/>
      <c r="D171" s="315"/>
      <c r="E171" s="315"/>
      <c r="F171" s="315"/>
      <c r="G171" s="315"/>
      <c r="H171" s="251">
        <f t="shared" si="46"/>
        <v>0</v>
      </c>
      <c r="I171" s="251">
        <f t="shared" si="64"/>
        <v>0</v>
      </c>
    </row>
    <row r="172" spans="1:10" x14ac:dyDescent="0.25">
      <c r="A172" s="312"/>
      <c r="B172" s="313" t="s">
        <v>430</v>
      </c>
      <c r="C172" s="314"/>
      <c r="D172" s="315"/>
      <c r="E172" s="315"/>
      <c r="F172" s="315"/>
      <c r="G172" s="315"/>
      <c r="H172" s="251">
        <f t="shared" si="46"/>
        <v>0</v>
      </c>
      <c r="I172" s="251">
        <f t="shared" si="64"/>
        <v>0</v>
      </c>
    </row>
    <row r="173" spans="1:10" x14ac:dyDescent="0.25">
      <c r="A173" s="338"/>
      <c r="B173" s="313" t="s">
        <v>447</v>
      </c>
      <c r="C173" s="314"/>
      <c r="D173" s="315">
        <f>D170</f>
        <v>665560433.4000001</v>
      </c>
      <c r="E173" s="315">
        <f t="shared" ref="E173:G173" si="65">E170</f>
        <v>783229791.67000008</v>
      </c>
      <c r="F173" s="315">
        <f t="shared" si="65"/>
        <v>26217353.300000001</v>
      </c>
      <c r="G173" s="315">
        <f t="shared" si="65"/>
        <v>-117669358.26999998</v>
      </c>
      <c r="H173" s="251"/>
      <c r="I173" s="251"/>
    </row>
    <row r="174" spans="1:10" ht="191.25" x14ac:dyDescent="0.25">
      <c r="A174" s="254"/>
      <c r="B174" s="280" t="s">
        <v>501</v>
      </c>
      <c r="C174" s="256" t="s">
        <v>502</v>
      </c>
      <c r="D174" s="279">
        <f>533752125.3+80770000+2730000</f>
        <v>617252125.29999995</v>
      </c>
      <c r="E174" s="275">
        <f>'Прочая  субсидия_МР  и  ГО'!AB43</f>
        <v>614522125.28999996</v>
      </c>
      <c r="F174" s="275">
        <f>'Прочая  субсидия_МР  и  ГО'!AC43</f>
        <v>236785751.39999998</v>
      </c>
      <c r="G174" s="259">
        <f t="shared" ref="G174" si="66">D174-E174</f>
        <v>2730000.0099999905</v>
      </c>
      <c r="H174" s="251">
        <f t="shared" si="46"/>
        <v>0</v>
      </c>
      <c r="I174" s="251">
        <f t="shared" ref="I174:I176" si="67">IF(G174&lt;0,1,0)</f>
        <v>0</v>
      </c>
    </row>
    <row r="175" spans="1:10" x14ac:dyDescent="0.25">
      <c r="A175" s="312"/>
      <c r="B175" s="313" t="s">
        <v>429</v>
      </c>
      <c r="C175" s="314"/>
      <c r="D175" s="315"/>
      <c r="E175" s="315"/>
      <c r="F175" s="315"/>
      <c r="G175" s="315"/>
      <c r="H175" s="251">
        <f t="shared" si="46"/>
        <v>0</v>
      </c>
      <c r="I175" s="251">
        <f t="shared" si="67"/>
        <v>0</v>
      </c>
    </row>
    <row r="176" spans="1:10" x14ac:dyDescent="0.25">
      <c r="A176" s="312"/>
      <c r="B176" s="313" t="s">
        <v>430</v>
      </c>
      <c r="C176" s="314"/>
      <c r="D176" s="315"/>
      <c r="E176" s="315"/>
      <c r="F176" s="315"/>
      <c r="G176" s="315"/>
      <c r="H176" s="251">
        <f t="shared" si="46"/>
        <v>0</v>
      </c>
      <c r="I176" s="251">
        <f t="shared" si="67"/>
        <v>0</v>
      </c>
    </row>
    <row r="177" spans="1:11" x14ac:dyDescent="0.25">
      <c r="A177" s="338"/>
      <c r="B177" s="313" t="s">
        <v>447</v>
      </c>
      <c r="C177" s="314"/>
      <c r="D177" s="315">
        <f>D174</f>
        <v>617252125.29999995</v>
      </c>
      <c r="E177" s="315">
        <f t="shared" ref="E177:G177" si="68">E174</f>
        <v>614522125.28999996</v>
      </c>
      <c r="F177" s="315">
        <f t="shared" si="68"/>
        <v>236785751.39999998</v>
      </c>
      <c r="G177" s="315">
        <f t="shared" si="68"/>
        <v>2730000.0099999905</v>
      </c>
      <c r="H177" s="251"/>
      <c r="I177" s="251"/>
    </row>
    <row r="178" spans="1:11" ht="165.75" x14ac:dyDescent="0.25">
      <c r="A178" s="254"/>
      <c r="B178" s="280" t="s">
        <v>503</v>
      </c>
      <c r="C178" s="256" t="s">
        <v>504</v>
      </c>
      <c r="D178" s="279">
        <f>742629.11+59676891.1+2326139.15-3652521.1</f>
        <v>59093138.259999998</v>
      </c>
      <c r="E178" s="275">
        <f>'Проверочная  таблица'!CW38</f>
        <v>1888529.1099999999</v>
      </c>
      <c r="F178" s="275">
        <f>'Проверочная  таблица'!DD38</f>
        <v>0</v>
      </c>
      <c r="G178" s="259">
        <f t="shared" ref="G178:G196" si="69">D178-E178</f>
        <v>57204609.149999999</v>
      </c>
      <c r="H178" s="251">
        <f t="shared" ref="H178:H196" si="70">IF(F178&gt;E178,1,0)</f>
        <v>0</v>
      </c>
      <c r="I178" s="251">
        <f t="shared" ref="I178:I202" si="71">IF(G178&lt;0,1,0)</f>
        <v>0</v>
      </c>
      <c r="J178" s="317">
        <f>D178+D181</f>
        <v>125304130.20999998</v>
      </c>
      <c r="K178" s="335"/>
    </row>
    <row r="179" spans="1:11" x14ac:dyDescent="0.25">
      <c r="A179" s="312"/>
      <c r="B179" s="313" t="s">
        <v>429</v>
      </c>
      <c r="C179" s="314"/>
      <c r="D179" s="315"/>
      <c r="E179" s="315"/>
      <c r="F179" s="315"/>
      <c r="G179" s="315">
        <f t="shared" si="69"/>
        <v>0</v>
      </c>
      <c r="H179" s="251">
        <f t="shared" si="70"/>
        <v>0</v>
      </c>
      <c r="I179" s="251">
        <f t="shared" si="71"/>
        <v>0</v>
      </c>
    </row>
    <row r="180" spans="1:11" x14ac:dyDescent="0.25">
      <c r="A180" s="312"/>
      <c r="B180" s="313" t="s">
        <v>430</v>
      </c>
      <c r="C180" s="314"/>
      <c r="D180" s="315">
        <f>D178-D179</f>
        <v>59093138.259999998</v>
      </c>
      <c r="E180" s="315">
        <f>E178-E179</f>
        <v>1888529.1099999999</v>
      </c>
      <c r="F180" s="315">
        <f>F178-F179</f>
        <v>0</v>
      </c>
      <c r="G180" s="315">
        <f t="shared" si="69"/>
        <v>57204609.149999999</v>
      </c>
      <c r="H180" s="251">
        <f t="shared" si="70"/>
        <v>0</v>
      </c>
      <c r="I180" s="251">
        <f t="shared" si="71"/>
        <v>0</v>
      </c>
      <c r="K180" s="335"/>
    </row>
    <row r="181" spans="1:11" x14ac:dyDescent="0.25">
      <c r="A181" s="282"/>
      <c r="B181" s="266" t="s">
        <v>398</v>
      </c>
      <c r="C181" s="283" t="s">
        <v>505</v>
      </c>
      <c r="D181" s="318">
        <f>243864.57+91170000+44196827.38-69399700</f>
        <v>66210991.949999988</v>
      </c>
      <c r="E181" s="269">
        <f>'Проверочная  таблица'!CX38</f>
        <v>22014164.57</v>
      </c>
      <c r="F181" s="269">
        <f>'Проверочная  таблица'!DE38</f>
        <v>0</v>
      </c>
      <c r="G181" s="270">
        <f t="shared" si="69"/>
        <v>44196827.379999988</v>
      </c>
      <c r="H181" s="251">
        <f t="shared" si="70"/>
        <v>0</v>
      </c>
      <c r="I181" s="251">
        <f t="shared" si="71"/>
        <v>0</v>
      </c>
      <c r="K181" s="335"/>
    </row>
    <row r="182" spans="1:11" x14ac:dyDescent="0.25">
      <c r="A182" s="282"/>
      <c r="B182" s="319" t="s">
        <v>429</v>
      </c>
      <c r="C182" s="320"/>
      <c r="D182" s="270"/>
      <c r="E182" s="270"/>
      <c r="F182" s="270"/>
      <c r="G182" s="270">
        <f t="shared" si="69"/>
        <v>0</v>
      </c>
      <c r="H182" s="251">
        <f t="shared" si="70"/>
        <v>0</v>
      </c>
      <c r="I182" s="251">
        <f t="shared" si="71"/>
        <v>0</v>
      </c>
    </row>
    <row r="183" spans="1:11" x14ac:dyDescent="0.25">
      <c r="A183" s="282"/>
      <c r="B183" s="319" t="s">
        <v>430</v>
      </c>
      <c r="C183" s="320"/>
      <c r="D183" s="270">
        <f>D181-D182</f>
        <v>66210991.949999988</v>
      </c>
      <c r="E183" s="270">
        <f>E181-E182</f>
        <v>22014164.57</v>
      </c>
      <c r="F183" s="270">
        <f>F181-F182</f>
        <v>0</v>
      </c>
      <c r="G183" s="270">
        <f t="shared" si="69"/>
        <v>44196827.379999988</v>
      </c>
      <c r="H183" s="251">
        <f t="shared" si="70"/>
        <v>0</v>
      </c>
      <c r="I183" s="251">
        <f t="shared" si="71"/>
        <v>0</v>
      </c>
    </row>
    <row r="184" spans="1:11" ht="114.75" x14ac:dyDescent="0.25">
      <c r="A184" s="254"/>
      <c r="B184" s="280" t="s">
        <v>506</v>
      </c>
      <c r="C184" s="256" t="s">
        <v>507</v>
      </c>
      <c r="D184" s="279">
        <f>1850000+22785769+2883576.28-768000</f>
        <v>26751345.280000001</v>
      </c>
      <c r="E184" s="275">
        <f>'Проверочная  таблица'!DA38</f>
        <v>10692264.01</v>
      </c>
      <c r="F184" s="275">
        <f>'Проверочная  таблица'!DH38</f>
        <v>3410449.79</v>
      </c>
      <c r="G184" s="259">
        <f t="shared" si="69"/>
        <v>16059081.270000001</v>
      </c>
      <c r="H184" s="251">
        <f t="shared" si="70"/>
        <v>0</v>
      </c>
      <c r="I184" s="251">
        <f t="shared" si="71"/>
        <v>0</v>
      </c>
      <c r="J184" s="317">
        <f>D184+D187</f>
        <v>153989323.89000002</v>
      </c>
    </row>
    <row r="185" spans="1:11" x14ac:dyDescent="0.25">
      <c r="A185" s="312"/>
      <c r="B185" s="313" t="s">
        <v>429</v>
      </c>
      <c r="C185" s="314"/>
      <c r="D185" s="315"/>
      <c r="E185" s="315"/>
      <c r="F185" s="315"/>
      <c r="G185" s="315">
        <f t="shared" si="69"/>
        <v>0</v>
      </c>
      <c r="H185" s="251">
        <f t="shared" si="70"/>
        <v>0</v>
      </c>
      <c r="I185" s="251">
        <f t="shared" si="71"/>
        <v>0</v>
      </c>
      <c r="K185" s="335"/>
    </row>
    <row r="186" spans="1:11" x14ac:dyDescent="0.25">
      <c r="A186" s="312"/>
      <c r="B186" s="313" t="s">
        <v>430</v>
      </c>
      <c r="C186" s="314"/>
      <c r="D186" s="315">
        <f>D184-D185</f>
        <v>26751345.280000001</v>
      </c>
      <c r="E186" s="315">
        <f>E184-E185</f>
        <v>10692264.01</v>
      </c>
      <c r="F186" s="315">
        <f>F184-F185</f>
        <v>3410449.79</v>
      </c>
      <c r="G186" s="315">
        <f t="shared" si="69"/>
        <v>16059081.270000001</v>
      </c>
      <c r="H186" s="251">
        <f t="shared" si="70"/>
        <v>0</v>
      </c>
      <c r="I186" s="251">
        <f t="shared" si="71"/>
        <v>0</v>
      </c>
    </row>
    <row r="187" spans="1:11" x14ac:dyDescent="0.25">
      <c r="A187" s="282"/>
      <c r="B187" s="266" t="s">
        <v>398</v>
      </c>
      <c r="C187" s="283" t="s">
        <v>507</v>
      </c>
      <c r="D187" s="318">
        <f>35150000+106680178.61-14592200</f>
        <v>127237978.61000001</v>
      </c>
      <c r="E187" s="269">
        <f>'Проверочная  таблица'!DB38</f>
        <v>75345743.200000003</v>
      </c>
      <c r="F187" s="269">
        <f>'Проверочная  таблица'!DI38</f>
        <v>64798441.840000004</v>
      </c>
      <c r="G187" s="270">
        <f t="shared" si="69"/>
        <v>51892235.410000011</v>
      </c>
      <c r="H187" s="251">
        <f t="shared" si="70"/>
        <v>0</v>
      </c>
      <c r="I187" s="251">
        <f t="shared" si="71"/>
        <v>0</v>
      </c>
      <c r="K187" s="335"/>
    </row>
    <row r="188" spans="1:11" x14ac:dyDescent="0.25">
      <c r="A188" s="282"/>
      <c r="B188" s="319" t="s">
        <v>429</v>
      </c>
      <c r="C188" s="320"/>
      <c r="D188" s="270"/>
      <c r="E188" s="270"/>
      <c r="F188" s="270"/>
      <c r="G188" s="270">
        <f t="shared" si="69"/>
        <v>0</v>
      </c>
      <c r="H188" s="251">
        <f t="shared" si="70"/>
        <v>0</v>
      </c>
      <c r="I188" s="251">
        <f t="shared" si="71"/>
        <v>0</v>
      </c>
    </row>
    <row r="189" spans="1:11" x14ac:dyDescent="0.25">
      <c r="A189" s="282"/>
      <c r="B189" s="319" t="s">
        <v>430</v>
      </c>
      <c r="C189" s="320"/>
      <c r="D189" s="270">
        <f>D187-D188</f>
        <v>127237978.61000001</v>
      </c>
      <c r="E189" s="270">
        <f>E187-E188</f>
        <v>75345743.200000003</v>
      </c>
      <c r="F189" s="270">
        <f>F187-F188</f>
        <v>64798441.840000004</v>
      </c>
      <c r="G189" s="270">
        <f t="shared" si="69"/>
        <v>51892235.410000011</v>
      </c>
      <c r="H189" s="251">
        <f t="shared" si="70"/>
        <v>0</v>
      </c>
      <c r="I189" s="251">
        <f t="shared" si="71"/>
        <v>0</v>
      </c>
    </row>
    <row r="190" spans="1:11" ht="178.5" x14ac:dyDescent="0.25">
      <c r="A190" s="332"/>
      <c r="B190" s="231" t="s">
        <v>508</v>
      </c>
      <c r="C190" s="256" t="s">
        <v>509</v>
      </c>
      <c r="D190" s="279">
        <v>20000000</v>
      </c>
      <c r="E190" s="275">
        <f>'Прочая  субсидия_МР  и  ГО'!AN43</f>
        <v>22221320.420000002</v>
      </c>
      <c r="F190" s="275">
        <f>'Прочая  субсидия_МР  и  ГО'!AO43</f>
        <v>0</v>
      </c>
      <c r="G190" s="259">
        <f t="shared" si="69"/>
        <v>-2221320.4200000018</v>
      </c>
      <c r="H190" s="251">
        <f t="shared" si="70"/>
        <v>0</v>
      </c>
      <c r="I190" s="251">
        <f t="shared" si="71"/>
        <v>1</v>
      </c>
    </row>
    <row r="191" spans="1:11" x14ac:dyDescent="0.25">
      <c r="A191" s="312"/>
      <c r="B191" s="313" t="s">
        <v>429</v>
      </c>
      <c r="C191" s="314"/>
      <c r="D191" s="316"/>
      <c r="E191" s="316"/>
      <c r="F191" s="316"/>
      <c r="G191" s="315">
        <f t="shared" si="69"/>
        <v>0</v>
      </c>
      <c r="H191" s="251">
        <f t="shared" si="70"/>
        <v>0</v>
      </c>
      <c r="I191" s="251">
        <f t="shared" si="71"/>
        <v>0</v>
      </c>
    </row>
    <row r="192" spans="1:11" x14ac:dyDescent="0.25">
      <c r="A192" s="312"/>
      <c r="B192" s="313" t="s">
        <v>430</v>
      </c>
      <c r="C192" s="314"/>
      <c r="D192" s="315">
        <f>D190</f>
        <v>20000000</v>
      </c>
      <c r="E192" s="315">
        <f t="shared" ref="E192:F192" si="72">E190</f>
        <v>22221320.420000002</v>
      </c>
      <c r="F192" s="315">
        <f t="shared" si="72"/>
        <v>0</v>
      </c>
      <c r="G192" s="315">
        <f t="shared" si="69"/>
        <v>-2221320.4200000018</v>
      </c>
      <c r="H192" s="251">
        <f t="shared" si="70"/>
        <v>0</v>
      </c>
      <c r="I192" s="251">
        <f t="shared" si="71"/>
        <v>1</v>
      </c>
    </row>
    <row r="193" spans="1:10" ht="178.5" x14ac:dyDescent="0.25">
      <c r="A193" s="254"/>
      <c r="B193" s="347" t="s">
        <v>510</v>
      </c>
      <c r="C193" s="256" t="s">
        <v>511</v>
      </c>
      <c r="D193" s="348">
        <v>5000000</v>
      </c>
      <c r="E193" s="275">
        <f>'Прочая  субсидия_МР  и  ГО'!AR43</f>
        <v>5000000</v>
      </c>
      <c r="F193" s="275">
        <f>'Прочая  субсидия_МР  и  ГО'!AS43</f>
        <v>4130387.41</v>
      </c>
      <c r="G193" s="259">
        <f t="shared" si="69"/>
        <v>0</v>
      </c>
      <c r="H193" s="251">
        <f t="shared" si="70"/>
        <v>0</v>
      </c>
      <c r="I193" s="251">
        <f t="shared" si="71"/>
        <v>0</v>
      </c>
    </row>
    <row r="194" spans="1:10" x14ac:dyDescent="0.25">
      <c r="A194" s="312"/>
      <c r="B194" s="313" t="s">
        <v>429</v>
      </c>
      <c r="C194" s="349"/>
      <c r="D194" s="315"/>
      <c r="E194" s="315"/>
      <c r="F194" s="315"/>
      <c r="G194" s="315">
        <f t="shared" si="69"/>
        <v>0</v>
      </c>
      <c r="H194" s="251">
        <f t="shared" si="70"/>
        <v>0</v>
      </c>
      <c r="I194" s="251">
        <f t="shared" si="71"/>
        <v>0</v>
      </c>
    </row>
    <row r="195" spans="1:10" x14ac:dyDescent="0.25">
      <c r="A195" s="312"/>
      <c r="B195" s="313" t="s">
        <v>430</v>
      </c>
      <c r="C195" s="314"/>
      <c r="D195" s="315"/>
      <c r="E195" s="315"/>
      <c r="F195" s="315"/>
      <c r="G195" s="315">
        <f t="shared" si="69"/>
        <v>0</v>
      </c>
      <c r="H195" s="251">
        <f t="shared" si="70"/>
        <v>0</v>
      </c>
      <c r="I195" s="251">
        <f t="shared" si="71"/>
        <v>0</v>
      </c>
    </row>
    <row r="196" spans="1:10" x14ac:dyDescent="0.25">
      <c r="A196" s="312"/>
      <c r="B196" s="313" t="s">
        <v>447</v>
      </c>
      <c r="C196" s="314"/>
      <c r="D196" s="315">
        <f>D193</f>
        <v>5000000</v>
      </c>
      <c r="E196" s="315">
        <f t="shared" ref="E196:F196" si="73">E193</f>
        <v>5000000</v>
      </c>
      <c r="F196" s="315">
        <f t="shared" si="73"/>
        <v>4130387.41</v>
      </c>
      <c r="G196" s="315">
        <f t="shared" si="69"/>
        <v>0</v>
      </c>
      <c r="H196" s="251">
        <f t="shared" si="70"/>
        <v>0</v>
      </c>
      <c r="I196" s="251">
        <f t="shared" si="71"/>
        <v>0</v>
      </c>
    </row>
    <row r="197" spans="1:10" x14ac:dyDescent="0.25">
      <c r="A197" s="254"/>
      <c r="B197" s="341"/>
      <c r="C197" s="342"/>
      <c r="D197" s="343"/>
      <c r="E197" s="343"/>
      <c r="F197" s="343"/>
      <c r="G197" s="343"/>
      <c r="H197" s="251"/>
      <c r="I197" s="251">
        <f t="shared" si="71"/>
        <v>0</v>
      </c>
    </row>
    <row r="198" spans="1:10" x14ac:dyDescent="0.25">
      <c r="A198" s="247" t="s">
        <v>10</v>
      </c>
      <c r="B198" s="248" t="s">
        <v>389</v>
      </c>
      <c r="C198" s="276"/>
      <c r="D198" s="277">
        <f>D211+D215+D219+D223+D226+D229+D232+D235+D203+D207</f>
        <v>872786199.11000001</v>
      </c>
      <c r="E198" s="277">
        <f t="shared" ref="E198:G200" si="74">E211+E215+E219+E223+E226+E229+E232+E235+E203+E207</f>
        <v>1136409746.2900002</v>
      </c>
      <c r="F198" s="277">
        <f t="shared" si="74"/>
        <v>357058108.51999998</v>
      </c>
      <c r="G198" s="277">
        <f t="shared" si="74"/>
        <v>-263623547.18000004</v>
      </c>
      <c r="H198" s="251">
        <f t="shared" ref="H198:H206" si="75">IF(F198&gt;E198,1,0)</f>
        <v>0</v>
      </c>
      <c r="I198" s="251">
        <f t="shared" si="71"/>
        <v>1</v>
      </c>
    </row>
    <row r="199" spans="1:10" x14ac:dyDescent="0.25">
      <c r="A199" s="306"/>
      <c r="B199" s="307" t="s">
        <v>429</v>
      </c>
      <c r="C199" s="308"/>
      <c r="D199" s="321">
        <f>D212+D216+D220+D224+D227+D230+D233+D236+D204+D208</f>
        <v>36640089.469999999</v>
      </c>
      <c r="E199" s="321">
        <f t="shared" si="74"/>
        <v>39556666.800000004</v>
      </c>
      <c r="F199" s="321">
        <f t="shared" si="74"/>
        <v>2090651.3000000003</v>
      </c>
      <c r="G199" s="321">
        <f t="shared" si="74"/>
        <v>-2916577.3299999991</v>
      </c>
      <c r="H199" s="251">
        <f t="shared" si="75"/>
        <v>0</v>
      </c>
      <c r="I199" s="251">
        <f t="shared" si="71"/>
        <v>1</v>
      </c>
    </row>
    <row r="200" spans="1:10" x14ac:dyDescent="0.25">
      <c r="A200" s="306"/>
      <c r="B200" s="307" t="s">
        <v>430</v>
      </c>
      <c r="C200" s="308"/>
      <c r="D200" s="321">
        <f>D213+D217+D221+D225+D228+D231+D234+D237+D205+D209</f>
        <v>0</v>
      </c>
      <c r="E200" s="321">
        <f t="shared" si="74"/>
        <v>0</v>
      </c>
      <c r="F200" s="321">
        <f t="shared" si="74"/>
        <v>0</v>
      </c>
      <c r="G200" s="321">
        <f t="shared" si="74"/>
        <v>0</v>
      </c>
      <c r="H200" s="251">
        <f t="shared" si="75"/>
        <v>0</v>
      </c>
      <c r="I200" s="251">
        <f t="shared" si="71"/>
        <v>0</v>
      </c>
    </row>
    <row r="201" spans="1:10" x14ac:dyDescent="0.25">
      <c r="A201" s="306"/>
      <c r="B201" s="344" t="s">
        <v>447</v>
      </c>
      <c r="C201" s="308"/>
      <c r="D201" s="321">
        <f>D198-D199-D200</f>
        <v>836146109.63999999</v>
      </c>
      <c r="E201" s="321">
        <f t="shared" ref="E201:G201" si="76">E198-E199-E200</f>
        <v>1096853079.4900002</v>
      </c>
      <c r="F201" s="321">
        <f t="shared" si="76"/>
        <v>354967457.21999997</v>
      </c>
      <c r="G201" s="321">
        <f t="shared" si="76"/>
        <v>-260706969.85000002</v>
      </c>
      <c r="H201" s="251">
        <f t="shared" si="75"/>
        <v>0</v>
      </c>
      <c r="I201" s="251">
        <f t="shared" si="71"/>
        <v>1</v>
      </c>
    </row>
    <row r="202" spans="1:10" x14ac:dyDescent="0.25">
      <c r="A202" s="254"/>
      <c r="B202" s="240" t="s">
        <v>376</v>
      </c>
      <c r="C202" s="278"/>
      <c r="D202" s="279"/>
      <c r="E202" s="275"/>
      <c r="F202" s="275"/>
      <c r="G202" s="259"/>
      <c r="H202" s="251">
        <f t="shared" si="75"/>
        <v>0</v>
      </c>
      <c r="I202" s="251">
        <f t="shared" si="71"/>
        <v>0</v>
      </c>
    </row>
    <row r="203" spans="1:10" ht="127.5" x14ac:dyDescent="0.25">
      <c r="A203" s="254"/>
      <c r="B203" s="347" t="s">
        <v>512</v>
      </c>
      <c r="C203" s="256" t="s">
        <v>513</v>
      </c>
      <c r="D203" s="348">
        <f>930556.57+731151.52</f>
        <v>1661708.0899999999</v>
      </c>
      <c r="E203" s="275">
        <f>'Проверочная  таблица'!HS39</f>
        <v>10524052.469999988</v>
      </c>
      <c r="F203" s="275">
        <f>'Проверочная  таблица'!HV39</f>
        <v>1456788.79</v>
      </c>
      <c r="G203" s="259">
        <f t="shared" ref="G203:G207" si="77">D203-E203</f>
        <v>-8862344.3799999878</v>
      </c>
      <c r="H203" s="251">
        <f t="shared" si="75"/>
        <v>0</v>
      </c>
      <c r="I203" s="251">
        <f>IF(G203&lt;0,1,0)</f>
        <v>1</v>
      </c>
      <c r="J203" s="317">
        <f>D203+D207</f>
        <v>166170808.09</v>
      </c>
    </row>
    <row r="204" spans="1:10" x14ac:dyDescent="0.25">
      <c r="A204" s="312"/>
      <c r="B204" s="313" t="s">
        <v>429</v>
      </c>
      <c r="C204" s="349"/>
      <c r="D204" s="315"/>
      <c r="E204" s="315"/>
      <c r="F204" s="315"/>
      <c r="G204" s="315">
        <f t="shared" si="77"/>
        <v>0</v>
      </c>
      <c r="H204" s="251">
        <f t="shared" si="75"/>
        <v>0</v>
      </c>
      <c r="I204" s="251">
        <f>IF(G204&lt;0,1,0)</f>
        <v>0</v>
      </c>
    </row>
    <row r="205" spans="1:10" x14ac:dyDescent="0.25">
      <c r="A205" s="312"/>
      <c r="B205" s="313" t="s">
        <v>430</v>
      </c>
      <c r="C205" s="314"/>
      <c r="D205" s="315"/>
      <c r="E205" s="315"/>
      <c r="F205" s="315"/>
      <c r="G205" s="315">
        <f t="shared" si="77"/>
        <v>0</v>
      </c>
      <c r="H205" s="251">
        <f t="shared" si="75"/>
        <v>0</v>
      </c>
      <c r="I205" s="251">
        <f>IF(G205&lt;0,1,0)</f>
        <v>0</v>
      </c>
      <c r="J205" s="317"/>
    </row>
    <row r="206" spans="1:10" x14ac:dyDescent="0.25">
      <c r="A206" s="312"/>
      <c r="B206" s="350" t="s">
        <v>447</v>
      </c>
      <c r="C206" s="314"/>
      <c r="D206" s="315">
        <f>D203</f>
        <v>1661708.0899999999</v>
      </c>
      <c r="E206" s="315">
        <f t="shared" ref="E206:F206" si="78">E203</f>
        <v>10524052.469999988</v>
      </c>
      <c r="F206" s="315">
        <f t="shared" si="78"/>
        <v>1456788.79</v>
      </c>
      <c r="G206" s="315">
        <f t="shared" si="77"/>
        <v>-8862344.3799999878</v>
      </c>
      <c r="H206" s="251">
        <f t="shared" si="75"/>
        <v>0</v>
      </c>
      <c r="I206" s="251">
        <f t="shared" ref="I206:I214" si="79">IF(G206&lt;0,1,0)</f>
        <v>1</v>
      </c>
    </row>
    <row r="207" spans="1:10" x14ac:dyDescent="0.25">
      <c r="A207" s="282"/>
      <c r="B207" s="266" t="s">
        <v>398</v>
      </c>
      <c r="C207" s="283" t="s">
        <v>513</v>
      </c>
      <c r="D207" s="318">
        <f>92125100+72384000</f>
        <v>164509100</v>
      </c>
      <c r="E207" s="269">
        <f>'Проверочная  таблица'!HT39</f>
        <v>167793311.36000001</v>
      </c>
      <c r="F207" s="269">
        <f>'Проверочная  таблица'!HW39</f>
        <v>144222088.74000001</v>
      </c>
      <c r="G207" s="270">
        <f t="shared" si="77"/>
        <v>-3284211.3600000143</v>
      </c>
      <c r="H207" s="251">
        <f>IF(F207&gt;E207,1,0)</f>
        <v>0</v>
      </c>
      <c r="I207" s="251">
        <f t="shared" si="79"/>
        <v>1</v>
      </c>
    </row>
    <row r="208" spans="1:10" x14ac:dyDescent="0.25">
      <c r="A208" s="282"/>
      <c r="B208" s="319" t="s">
        <v>429</v>
      </c>
      <c r="C208" s="320"/>
      <c r="D208" s="270"/>
      <c r="E208" s="270"/>
      <c r="F208" s="270"/>
      <c r="G208" s="270">
        <f>D208-E208</f>
        <v>0</v>
      </c>
      <c r="H208" s="251">
        <f>IF(F208&gt;E208,1,0)</f>
        <v>0</v>
      </c>
      <c r="I208" s="251">
        <f t="shared" si="79"/>
        <v>0</v>
      </c>
    </row>
    <row r="209" spans="1:10" x14ac:dyDescent="0.25">
      <c r="A209" s="282"/>
      <c r="B209" s="319" t="s">
        <v>430</v>
      </c>
      <c r="C209" s="320"/>
      <c r="D209" s="270"/>
      <c r="E209" s="270"/>
      <c r="F209" s="270"/>
      <c r="G209" s="270">
        <f>D209-E209</f>
        <v>0</v>
      </c>
      <c r="H209" s="251">
        <f>IF(F209&gt;E209,1,0)</f>
        <v>0</v>
      </c>
      <c r="I209" s="251">
        <f t="shared" si="79"/>
        <v>0</v>
      </c>
    </row>
    <row r="210" spans="1:10" x14ac:dyDescent="0.25">
      <c r="A210" s="282"/>
      <c r="B210" s="319" t="s">
        <v>447</v>
      </c>
      <c r="C210" s="320"/>
      <c r="D210" s="270">
        <f>D207</f>
        <v>164509100</v>
      </c>
      <c r="E210" s="270">
        <f t="shared" ref="E210:F210" si="80">E207</f>
        <v>167793311.36000001</v>
      </c>
      <c r="F210" s="270">
        <f t="shared" si="80"/>
        <v>144222088.74000001</v>
      </c>
      <c r="G210" s="270">
        <f>D210-E210</f>
        <v>-3284211.3600000143</v>
      </c>
      <c r="H210" s="251">
        <f>IF(F210&gt;E210,1,0)</f>
        <v>0</v>
      </c>
      <c r="I210" s="251">
        <f t="shared" si="79"/>
        <v>1</v>
      </c>
    </row>
    <row r="211" spans="1:10" ht="102" x14ac:dyDescent="0.25">
      <c r="A211" s="254"/>
      <c r="B211" s="347" t="s">
        <v>514</v>
      </c>
      <c r="C211" s="256" t="s">
        <v>515</v>
      </c>
      <c r="D211" s="348">
        <v>14336029.98</v>
      </c>
      <c r="E211" s="275">
        <f>'Проверочная  таблица'!OS39</f>
        <v>118336029.97999999</v>
      </c>
      <c r="F211" s="275">
        <f>'Проверочная  таблица'!OW39</f>
        <v>6651685.6299999999</v>
      </c>
      <c r="G211" s="259">
        <f t="shared" ref="G211:G215" si="81">D211-E211</f>
        <v>-103999999.99999999</v>
      </c>
      <c r="H211" s="251">
        <f t="shared" ref="H211:H214" si="82">IF(F211&gt;E211,1,0)</f>
        <v>0</v>
      </c>
      <c r="I211" s="251">
        <f t="shared" si="79"/>
        <v>1</v>
      </c>
      <c r="J211" s="317">
        <f>D211+D215</f>
        <v>286720529.98000002</v>
      </c>
    </row>
    <row r="212" spans="1:10" x14ac:dyDescent="0.25">
      <c r="A212" s="312"/>
      <c r="B212" s="313" t="s">
        <v>429</v>
      </c>
      <c r="C212" s="349"/>
      <c r="D212" s="315"/>
      <c r="E212" s="315"/>
      <c r="F212" s="315"/>
      <c r="G212" s="315">
        <f t="shared" si="81"/>
        <v>0</v>
      </c>
      <c r="H212" s="251">
        <f t="shared" si="82"/>
        <v>0</v>
      </c>
      <c r="I212" s="251">
        <f t="shared" si="79"/>
        <v>0</v>
      </c>
    </row>
    <row r="213" spans="1:10" x14ac:dyDescent="0.25">
      <c r="A213" s="312"/>
      <c r="B213" s="313" t="s">
        <v>430</v>
      </c>
      <c r="C213" s="314"/>
      <c r="D213" s="315"/>
      <c r="E213" s="315"/>
      <c r="F213" s="315"/>
      <c r="G213" s="315">
        <f t="shared" si="81"/>
        <v>0</v>
      </c>
      <c r="H213" s="251">
        <f t="shared" si="82"/>
        <v>0</v>
      </c>
      <c r="I213" s="251">
        <f t="shared" si="79"/>
        <v>0</v>
      </c>
      <c r="J213" s="317"/>
    </row>
    <row r="214" spans="1:10" x14ac:dyDescent="0.25">
      <c r="A214" s="312"/>
      <c r="B214" s="350" t="s">
        <v>447</v>
      </c>
      <c r="C214" s="314"/>
      <c r="D214" s="315">
        <f>D211</f>
        <v>14336029.98</v>
      </c>
      <c r="E214" s="315">
        <f t="shared" ref="E214:F214" si="83">E211</f>
        <v>118336029.97999999</v>
      </c>
      <c r="F214" s="315">
        <f t="shared" si="83"/>
        <v>6651685.6299999999</v>
      </c>
      <c r="G214" s="315">
        <f t="shared" si="81"/>
        <v>-103999999.99999999</v>
      </c>
      <c r="H214" s="251">
        <f t="shared" si="82"/>
        <v>0</v>
      </c>
      <c r="I214" s="251">
        <f t="shared" si="79"/>
        <v>1</v>
      </c>
    </row>
    <row r="215" spans="1:10" x14ac:dyDescent="0.25">
      <c r="A215" s="282"/>
      <c r="B215" s="266" t="s">
        <v>398</v>
      </c>
      <c r="C215" s="283" t="s">
        <v>515</v>
      </c>
      <c r="D215" s="318">
        <v>272384500</v>
      </c>
      <c r="E215" s="269">
        <f>'Проверочная  таблица'!OT39</f>
        <v>416944914.11000001</v>
      </c>
      <c r="F215" s="269">
        <f>'Проверочная  таблица'!OX39</f>
        <v>126381994.62</v>
      </c>
      <c r="G215" s="270">
        <f t="shared" si="81"/>
        <v>-144560414.11000001</v>
      </c>
      <c r="H215" s="251">
        <f>IF(F215&gt;E215,1,0)</f>
        <v>0</v>
      </c>
      <c r="I215" s="251">
        <f>IF(G215&lt;0,1,0)</f>
        <v>1</v>
      </c>
    </row>
    <row r="216" spans="1:10" x14ac:dyDescent="0.25">
      <c r="A216" s="282"/>
      <c r="B216" s="319" t="s">
        <v>429</v>
      </c>
      <c r="C216" s="320"/>
      <c r="D216" s="270"/>
      <c r="E216" s="270"/>
      <c r="F216" s="270"/>
      <c r="G216" s="270">
        <f>D216-E216</f>
        <v>0</v>
      </c>
      <c r="H216" s="251">
        <f>IF(F216&gt;E216,1,0)</f>
        <v>0</v>
      </c>
      <c r="I216" s="251">
        <f>IF(G216&lt;0,1,0)</f>
        <v>0</v>
      </c>
    </row>
    <row r="217" spans="1:10" x14ac:dyDescent="0.25">
      <c r="A217" s="282"/>
      <c r="B217" s="319" t="s">
        <v>430</v>
      </c>
      <c r="C217" s="320"/>
      <c r="D217" s="270"/>
      <c r="E217" s="270"/>
      <c r="F217" s="270"/>
      <c r="G217" s="270">
        <f>D217-E217</f>
        <v>0</v>
      </c>
      <c r="H217" s="251">
        <f>IF(F217&gt;E217,1,0)</f>
        <v>0</v>
      </c>
      <c r="I217" s="251">
        <f>IF(G217&lt;0,1,0)</f>
        <v>0</v>
      </c>
    </row>
    <row r="218" spans="1:10" x14ac:dyDescent="0.25">
      <c r="A218" s="282"/>
      <c r="B218" s="319" t="s">
        <v>447</v>
      </c>
      <c r="C218" s="320"/>
      <c r="D218" s="270">
        <f>D215</f>
        <v>272384500</v>
      </c>
      <c r="E218" s="270">
        <f t="shared" ref="E218:F218" si="84">E215</f>
        <v>416944914.11000001</v>
      </c>
      <c r="F218" s="270">
        <f t="shared" si="84"/>
        <v>126381994.62</v>
      </c>
      <c r="G218" s="270">
        <f>D218-E218</f>
        <v>-144560414.11000001</v>
      </c>
      <c r="H218" s="251">
        <f>IF(F218&gt;E218,1,0)</f>
        <v>0</v>
      </c>
      <c r="I218" s="251">
        <f>IF(G218&lt;0,1,0)</f>
        <v>1</v>
      </c>
    </row>
    <row r="219" spans="1:10" ht="191.25" x14ac:dyDescent="0.25">
      <c r="A219" s="254"/>
      <c r="B219" s="280" t="s">
        <v>516</v>
      </c>
      <c r="C219" s="256" t="s">
        <v>517</v>
      </c>
      <c r="D219" s="333">
        <f>328671303.52+27510187.29+27073280.76</f>
        <v>383254771.56999999</v>
      </c>
      <c r="E219" s="275">
        <f>'Проверочная  таблица'!OU39</f>
        <v>383254771.56999999</v>
      </c>
      <c r="F219" s="275">
        <f>'Проверочная  таблица'!OY39</f>
        <v>76254899.439999998</v>
      </c>
      <c r="G219" s="259">
        <f t="shared" ref="G219:G223" si="85">D219-E219</f>
        <v>0</v>
      </c>
      <c r="H219" s="251">
        <f t="shared" ref="H219:H237" si="86">IF(F219&gt;E219,1,0)</f>
        <v>0</v>
      </c>
      <c r="I219" s="251">
        <f t="shared" ref="I219:I225" si="87">IF(G219&lt;0,1,0)</f>
        <v>0</v>
      </c>
    </row>
    <row r="220" spans="1:10" x14ac:dyDescent="0.25">
      <c r="A220" s="312"/>
      <c r="B220" s="313" t="s">
        <v>429</v>
      </c>
      <c r="C220" s="314"/>
      <c r="D220" s="315"/>
      <c r="E220" s="315"/>
      <c r="F220" s="315"/>
      <c r="G220" s="315">
        <f t="shared" si="85"/>
        <v>0</v>
      </c>
      <c r="H220" s="251">
        <f t="shared" si="86"/>
        <v>0</v>
      </c>
      <c r="I220" s="251">
        <f t="shared" si="87"/>
        <v>0</v>
      </c>
    </row>
    <row r="221" spans="1:10" x14ac:dyDescent="0.25">
      <c r="A221" s="312"/>
      <c r="B221" s="313" t="s">
        <v>430</v>
      </c>
      <c r="C221" s="351"/>
      <c r="D221" s="340"/>
      <c r="E221" s="340"/>
      <c r="F221" s="340"/>
      <c r="G221" s="315">
        <f t="shared" si="85"/>
        <v>0</v>
      </c>
      <c r="H221" s="251">
        <f t="shared" si="86"/>
        <v>0</v>
      </c>
      <c r="I221" s="251">
        <f t="shared" si="87"/>
        <v>0</v>
      </c>
    </row>
    <row r="222" spans="1:10" x14ac:dyDescent="0.25">
      <c r="A222" s="312"/>
      <c r="B222" s="313" t="s">
        <v>447</v>
      </c>
      <c r="C222" s="351"/>
      <c r="D222" s="316">
        <f>D219</f>
        <v>383254771.56999999</v>
      </c>
      <c r="E222" s="316">
        <f t="shared" ref="E222:F222" si="88">E219</f>
        <v>383254771.56999999</v>
      </c>
      <c r="F222" s="316">
        <f t="shared" si="88"/>
        <v>76254899.439999998</v>
      </c>
      <c r="G222" s="315">
        <f t="shared" si="85"/>
        <v>0</v>
      </c>
      <c r="H222" s="251">
        <f t="shared" si="86"/>
        <v>0</v>
      </c>
      <c r="I222" s="251">
        <f t="shared" si="87"/>
        <v>0</v>
      </c>
    </row>
    <row r="223" spans="1:10" ht="140.25" x14ac:dyDescent="0.25">
      <c r="A223" s="254"/>
      <c r="B223" s="280" t="s">
        <v>518</v>
      </c>
      <c r="C223" s="278" t="s">
        <v>519</v>
      </c>
      <c r="D223" s="333">
        <v>542589.47</v>
      </c>
      <c r="E223" s="275">
        <f>'Проверочная  таблица'!PY39</f>
        <v>470132.31999999989</v>
      </c>
      <c r="F223" s="275">
        <f>'Проверочная  таблица'!QD39</f>
        <v>62401.11</v>
      </c>
      <c r="G223" s="259">
        <f t="shared" si="85"/>
        <v>72457.150000000081</v>
      </c>
      <c r="H223" s="251">
        <f t="shared" si="86"/>
        <v>0</v>
      </c>
      <c r="I223" s="251">
        <f t="shared" si="87"/>
        <v>0</v>
      </c>
      <c r="J223" s="317">
        <f>D223+D226</f>
        <v>10851789.470000001</v>
      </c>
    </row>
    <row r="224" spans="1:10" x14ac:dyDescent="0.25">
      <c r="A224" s="312"/>
      <c r="B224" s="313" t="s">
        <v>429</v>
      </c>
      <c r="C224" s="314"/>
      <c r="D224" s="316">
        <f>D223</f>
        <v>542589.47</v>
      </c>
      <c r="E224" s="316">
        <f>E223</f>
        <v>470132.31999999989</v>
      </c>
      <c r="F224" s="316">
        <f>F223</f>
        <v>62401.11</v>
      </c>
      <c r="G224" s="316">
        <f>G223</f>
        <v>72457.150000000081</v>
      </c>
      <c r="H224" s="251">
        <f t="shared" si="86"/>
        <v>0</v>
      </c>
      <c r="I224" s="251">
        <f t="shared" si="87"/>
        <v>0</v>
      </c>
    </row>
    <row r="225" spans="1:10" x14ac:dyDescent="0.25">
      <c r="A225" s="312"/>
      <c r="B225" s="313" t="s">
        <v>430</v>
      </c>
      <c r="C225" s="314"/>
      <c r="D225" s="315"/>
      <c r="E225" s="315"/>
      <c r="F225" s="315"/>
      <c r="G225" s="315"/>
      <c r="H225" s="251">
        <f t="shared" si="86"/>
        <v>0</v>
      </c>
      <c r="I225" s="251">
        <f t="shared" si="87"/>
        <v>0</v>
      </c>
    </row>
    <row r="226" spans="1:10" x14ac:dyDescent="0.25">
      <c r="A226" s="282"/>
      <c r="B226" s="266" t="s">
        <v>398</v>
      </c>
      <c r="C226" s="352" t="s">
        <v>519</v>
      </c>
      <c r="D226" s="318">
        <v>10309200</v>
      </c>
      <c r="E226" s="269">
        <f>'Проверочная  таблица'!PZ39</f>
        <v>8932514.2699999996</v>
      </c>
      <c r="F226" s="269">
        <f>'Проверочная  таблица'!QE39</f>
        <v>1185621.1599999999</v>
      </c>
      <c r="G226" s="270">
        <f t="shared" ref="G226" si="89">D226-E226</f>
        <v>1376685.7300000004</v>
      </c>
      <c r="H226" s="251">
        <f t="shared" si="86"/>
        <v>0</v>
      </c>
      <c r="I226" s="251">
        <f>IF(G226&lt;0,1,0)</f>
        <v>0</v>
      </c>
    </row>
    <row r="227" spans="1:10" x14ac:dyDescent="0.25">
      <c r="A227" s="282"/>
      <c r="B227" s="319" t="s">
        <v>429</v>
      </c>
      <c r="C227" s="320"/>
      <c r="D227" s="269">
        <f>D226</f>
        <v>10309200</v>
      </c>
      <c r="E227" s="269">
        <f>E226</f>
        <v>8932514.2699999996</v>
      </c>
      <c r="F227" s="269">
        <f>F226</f>
        <v>1185621.1599999999</v>
      </c>
      <c r="G227" s="269">
        <f>G226</f>
        <v>1376685.7300000004</v>
      </c>
      <c r="H227" s="251">
        <f t="shared" si="86"/>
        <v>0</v>
      </c>
      <c r="I227" s="251">
        <f>IF(G227&lt;0,1,0)</f>
        <v>0</v>
      </c>
    </row>
    <row r="228" spans="1:10" x14ac:dyDescent="0.25">
      <c r="A228" s="282"/>
      <c r="B228" s="319" t="s">
        <v>430</v>
      </c>
      <c r="C228" s="320"/>
      <c r="D228" s="270"/>
      <c r="E228" s="270"/>
      <c r="F228" s="270"/>
      <c r="G228" s="270"/>
      <c r="H228" s="251">
        <f t="shared" si="86"/>
        <v>0</v>
      </c>
      <c r="I228" s="251">
        <f>IF(G228&lt;0,1,0)</f>
        <v>0</v>
      </c>
    </row>
    <row r="229" spans="1:10" ht="127.5" x14ac:dyDescent="0.25">
      <c r="A229" s="254"/>
      <c r="B229" s="280" t="s">
        <v>520</v>
      </c>
      <c r="C229" s="256" t="s">
        <v>521</v>
      </c>
      <c r="D229" s="279">
        <v>502200</v>
      </c>
      <c r="E229" s="275">
        <f>'Прочая  субсидия_МР  и  ГО'!BF43</f>
        <v>4867920.21</v>
      </c>
      <c r="F229" s="275">
        <f>'Прочая  субсидия_МР  и  ГО'!BG43</f>
        <v>0</v>
      </c>
      <c r="G229" s="259">
        <f>D229-E229</f>
        <v>-4365720.21</v>
      </c>
      <c r="H229" s="251">
        <f t="shared" si="86"/>
        <v>0</v>
      </c>
      <c r="I229" s="251">
        <f t="shared" ref="I229:I237" si="90">IF(G229&lt;0,1,0)</f>
        <v>1</v>
      </c>
    </row>
    <row r="230" spans="1:10" x14ac:dyDescent="0.25">
      <c r="A230" s="312"/>
      <c r="B230" s="313" t="s">
        <v>429</v>
      </c>
      <c r="C230" s="314"/>
      <c r="D230" s="315">
        <f>D229</f>
        <v>502200</v>
      </c>
      <c r="E230" s="315">
        <f>E229</f>
        <v>4867920.21</v>
      </c>
      <c r="F230" s="315">
        <f>F229</f>
        <v>0</v>
      </c>
      <c r="G230" s="315">
        <f>D230-E230</f>
        <v>-4365720.21</v>
      </c>
      <c r="H230" s="251">
        <f t="shared" si="86"/>
        <v>0</v>
      </c>
      <c r="I230" s="251">
        <f t="shared" si="90"/>
        <v>1</v>
      </c>
    </row>
    <row r="231" spans="1:10" x14ac:dyDescent="0.25">
      <c r="A231" s="312"/>
      <c r="B231" s="313" t="s">
        <v>430</v>
      </c>
      <c r="C231" s="314"/>
      <c r="D231" s="315"/>
      <c r="E231" s="315"/>
      <c r="F231" s="315"/>
      <c r="G231" s="315">
        <f>D231-E231</f>
        <v>0</v>
      </c>
      <c r="H231" s="251">
        <f t="shared" si="86"/>
        <v>0</v>
      </c>
      <c r="I231" s="251">
        <f t="shared" si="90"/>
        <v>0</v>
      </c>
    </row>
    <row r="232" spans="1:10" ht="178.5" x14ac:dyDescent="0.25">
      <c r="A232" s="254"/>
      <c r="B232" s="280" t="s">
        <v>522</v>
      </c>
      <c r="C232" s="256" t="s">
        <v>523</v>
      </c>
      <c r="D232" s="279">
        <v>6600000</v>
      </c>
      <c r="E232" s="275">
        <f>'Проверочная  таблица'!FC39</f>
        <v>6600000.0000000019</v>
      </c>
      <c r="F232" s="275">
        <f>'Проверочная  таблица'!FF39</f>
        <v>219937.09999999998</v>
      </c>
      <c r="G232" s="259">
        <f t="shared" ref="G232:G237" si="91">D232-E232</f>
        <v>0</v>
      </c>
      <c r="H232" s="251">
        <f t="shared" si="86"/>
        <v>0</v>
      </c>
      <c r="I232" s="251">
        <f t="shared" si="90"/>
        <v>0</v>
      </c>
      <c r="J232" s="317">
        <f>D232+D235</f>
        <v>25286100</v>
      </c>
    </row>
    <row r="233" spans="1:10" x14ac:dyDescent="0.25">
      <c r="A233" s="312"/>
      <c r="B233" s="313" t="s">
        <v>429</v>
      </c>
      <c r="C233" s="314"/>
      <c r="D233" s="315">
        <f>D232</f>
        <v>6600000</v>
      </c>
      <c r="E233" s="315">
        <f>E232</f>
        <v>6600000.0000000019</v>
      </c>
      <c r="F233" s="315">
        <f>F232</f>
        <v>219937.09999999998</v>
      </c>
      <c r="G233" s="315">
        <f t="shared" si="91"/>
        <v>0</v>
      </c>
      <c r="H233" s="251">
        <f t="shared" si="86"/>
        <v>0</v>
      </c>
      <c r="I233" s="251">
        <f t="shared" si="90"/>
        <v>0</v>
      </c>
    </row>
    <row r="234" spans="1:10" x14ac:dyDescent="0.25">
      <c r="A234" s="312"/>
      <c r="B234" s="313" t="s">
        <v>430</v>
      </c>
      <c r="C234" s="314"/>
      <c r="D234" s="315"/>
      <c r="E234" s="315"/>
      <c r="F234" s="315"/>
      <c r="G234" s="315">
        <f t="shared" si="91"/>
        <v>0</v>
      </c>
      <c r="H234" s="251">
        <f t="shared" si="86"/>
        <v>0</v>
      </c>
      <c r="I234" s="251">
        <f t="shared" si="90"/>
        <v>0</v>
      </c>
      <c r="J234" s="317"/>
    </row>
    <row r="235" spans="1:10" x14ac:dyDescent="0.25">
      <c r="A235" s="282"/>
      <c r="B235" s="266" t="s">
        <v>398</v>
      </c>
      <c r="C235" s="283" t="s">
        <v>523</v>
      </c>
      <c r="D235" s="284">
        <v>18686100</v>
      </c>
      <c r="E235" s="353">
        <f>'Проверочная  таблица'!FD39</f>
        <v>18686100</v>
      </c>
      <c r="F235" s="353">
        <f>'Проверочная  таблица'!FG39</f>
        <v>622691.93000000005</v>
      </c>
      <c r="G235" s="330">
        <f t="shared" si="91"/>
        <v>0</v>
      </c>
      <c r="H235" s="251">
        <f t="shared" si="86"/>
        <v>0</v>
      </c>
      <c r="I235" s="251">
        <f t="shared" si="90"/>
        <v>0</v>
      </c>
    </row>
    <row r="236" spans="1:10" x14ac:dyDescent="0.25">
      <c r="A236" s="282"/>
      <c r="B236" s="319" t="s">
        <v>429</v>
      </c>
      <c r="C236" s="320"/>
      <c r="D236" s="270">
        <f>D235</f>
        <v>18686100</v>
      </c>
      <c r="E236" s="270">
        <f>E235</f>
        <v>18686100</v>
      </c>
      <c r="F236" s="270">
        <f>F235</f>
        <v>622691.93000000005</v>
      </c>
      <c r="G236" s="270">
        <f t="shared" si="91"/>
        <v>0</v>
      </c>
      <c r="H236" s="251">
        <f t="shared" si="86"/>
        <v>0</v>
      </c>
      <c r="I236" s="251">
        <f t="shared" si="90"/>
        <v>0</v>
      </c>
    </row>
    <row r="237" spans="1:10" x14ac:dyDescent="0.25">
      <c r="A237" s="282"/>
      <c r="B237" s="319" t="s">
        <v>430</v>
      </c>
      <c r="C237" s="320"/>
      <c r="D237" s="270"/>
      <c r="E237" s="270"/>
      <c r="F237" s="270"/>
      <c r="G237" s="270">
        <f t="shared" si="91"/>
        <v>0</v>
      </c>
      <c r="H237" s="251">
        <f t="shared" si="86"/>
        <v>0</v>
      </c>
      <c r="I237" s="251">
        <f t="shared" si="90"/>
        <v>0</v>
      </c>
    </row>
    <row r="238" spans="1:10" x14ac:dyDescent="0.25">
      <c r="A238" s="254"/>
      <c r="B238" s="280"/>
      <c r="C238" s="278"/>
      <c r="D238" s="279"/>
      <c r="E238" s="275"/>
      <c r="F238" s="275"/>
      <c r="G238" s="259"/>
      <c r="H238" s="251"/>
      <c r="I238" s="251"/>
    </row>
    <row r="239" spans="1:10" ht="25.5" hidden="1" x14ac:dyDescent="0.25">
      <c r="A239" s="247" t="s">
        <v>524</v>
      </c>
      <c r="B239" s="248" t="s">
        <v>525</v>
      </c>
      <c r="C239" s="276"/>
      <c r="D239" s="277">
        <f>D242+D245</f>
        <v>0</v>
      </c>
      <c r="E239" s="277">
        <f t="shared" ref="E239:G241" si="92">E242+E245</f>
        <v>3414035.2</v>
      </c>
      <c r="F239" s="277">
        <f t="shared" si="92"/>
        <v>0</v>
      </c>
      <c r="G239" s="277">
        <f t="shared" si="92"/>
        <v>-3414035.2</v>
      </c>
      <c r="H239" s="251">
        <f t="shared" ref="H239:H247" si="93">IF(F239&gt;E239,1,0)</f>
        <v>0</v>
      </c>
      <c r="I239" s="251">
        <f t="shared" ref="I239:I244" si="94">IF(G239&lt;0,1,0)</f>
        <v>1</v>
      </c>
    </row>
    <row r="240" spans="1:10" hidden="1" x14ac:dyDescent="0.25">
      <c r="A240" s="306"/>
      <c r="B240" s="307" t="s">
        <v>429</v>
      </c>
      <c r="C240" s="308"/>
      <c r="D240" s="321">
        <f t="shared" ref="D240:D241" si="95">D243+D246</f>
        <v>0</v>
      </c>
      <c r="E240" s="321">
        <f t="shared" si="92"/>
        <v>0</v>
      </c>
      <c r="F240" s="321">
        <f t="shared" si="92"/>
        <v>0</v>
      </c>
      <c r="G240" s="321">
        <f t="shared" si="92"/>
        <v>0</v>
      </c>
      <c r="H240" s="251">
        <f t="shared" si="93"/>
        <v>0</v>
      </c>
      <c r="I240" s="251">
        <f t="shared" si="94"/>
        <v>0</v>
      </c>
    </row>
    <row r="241" spans="1:10" hidden="1" x14ac:dyDescent="0.25">
      <c r="A241" s="306"/>
      <c r="B241" s="307" t="s">
        <v>430</v>
      </c>
      <c r="C241" s="308"/>
      <c r="D241" s="321">
        <f t="shared" si="95"/>
        <v>0</v>
      </c>
      <c r="E241" s="321">
        <f t="shared" si="92"/>
        <v>3414035.2</v>
      </c>
      <c r="F241" s="321">
        <f t="shared" si="92"/>
        <v>0</v>
      </c>
      <c r="G241" s="321">
        <f t="shared" si="92"/>
        <v>-3414035.2</v>
      </c>
      <c r="H241" s="251">
        <f t="shared" si="93"/>
        <v>0</v>
      </c>
      <c r="I241" s="251">
        <f t="shared" si="94"/>
        <v>1</v>
      </c>
    </row>
    <row r="242" spans="1:10" ht="191.25" hidden="1" x14ac:dyDescent="0.25">
      <c r="A242" s="310"/>
      <c r="B242" s="280" t="s">
        <v>526</v>
      </c>
      <c r="C242" s="278" t="s">
        <v>527</v>
      </c>
      <c r="D242" s="333"/>
      <c r="E242" s="275">
        <f>'Проверочная  таблица'!TA39</f>
        <v>170701.76000000024</v>
      </c>
      <c r="F242" s="275">
        <f>'Проверочная  таблица'!TH39</f>
        <v>0</v>
      </c>
      <c r="G242" s="259">
        <f t="shared" ref="G242" si="96">D242-E242</f>
        <v>-170701.76000000024</v>
      </c>
      <c r="H242" s="251">
        <f t="shared" si="93"/>
        <v>0</v>
      </c>
      <c r="I242" s="251">
        <f t="shared" si="94"/>
        <v>1</v>
      </c>
      <c r="J242" s="317">
        <f>D242+D245</f>
        <v>0</v>
      </c>
    </row>
    <row r="243" spans="1:10" hidden="1" x14ac:dyDescent="0.25">
      <c r="A243" s="312"/>
      <c r="B243" s="313" t="s">
        <v>429</v>
      </c>
      <c r="C243" s="314"/>
      <c r="D243" s="316"/>
      <c r="E243" s="316"/>
      <c r="F243" s="316"/>
      <c r="G243" s="316"/>
      <c r="H243" s="251">
        <f t="shared" si="93"/>
        <v>0</v>
      </c>
      <c r="I243" s="251">
        <f t="shared" si="94"/>
        <v>0</v>
      </c>
    </row>
    <row r="244" spans="1:10" hidden="1" x14ac:dyDescent="0.25">
      <c r="A244" s="312"/>
      <c r="B244" s="313" t="s">
        <v>430</v>
      </c>
      <c r="C244" s="314"/>
      <c r="D244" s="315">
        <f>D242</f>
        <v>0</v>
      </c>
      <c r="E244" s="315">
        <f t="shared" ref="E244:G244" si="97">E242</f>
        <v>170701.76000000024</v>
      </c>
      <c r="F244" s="315">
        <f t="shared" si="97"/>
        <v>0</v>
      </c>
      <c r="G244" s="315">
        <f t="shared" si="97"/>
        <v>-170701.76000000024</v>
      </c>
      <c r="H244" s="251">
        <f t="shared" si="93"/>
        <v>0</v>
      </c>
      <c r="I244" s="251">
        <f t="shared" si="94"/>
        <v>1</v>
      </c>
    </row>
    <row r="245" spans="1:10" hidden="1" x14ac:dyDescent="0.25">
      <c r="A245" s="282"/>
      <c r="B245" s="266" t="s">
        <v>398</v>
      </c>
      <c r="C245" s="352" t="s">
        <v>527</v>
      </c>
      <c r="D245" s="318"/>
      <c r="E245" s="269">
        <f>'Проверочная  таблица'!TB39</f>
        <v>3243333.44</v>
      </c>
      <c r="F245" s="269">
        <f>'Проверочная  таблица'!TI39</f>
        <v>0</v>
      </c>
      <c r="G245" s="270">
        <f t="shared" ref="G245" si="98">D245-E245</f>
        <v>-3243333.44</v>
      </c>
      <c r="H245" s="251">
        <f t="shared" si="93"/>
        <v>0</v>
      </c>
      <c r="I245" s="251">
        <f>IF(G245&lt;0,1,0)</f>
        <v>1</v>
      </c>
    </row>
    <row r="246" spans="1:10" hidden="1" x14ac:dyDescent="0.25">
      <c r="A246" s="282"/>
      <c r="B246" s="319" t="s">
        <v>429</v>
      </c>
      <c r="C246" s="320"/>
      <c r="D246" s="269"/>
      <c r="E246" s="269"/>
      <c r="F246" s="269"/>
      <c r="G246" s="269"/>
      <c r="H246" s="251">
        <f t="shared" si="93"/>
        <v>0</v>
      </c>
      <c r="I246" s="251">
        <f>IF(G246&lt;0,1,0)</f>
        <v>0</v>
      </c>
    </row>
    <row r="247" spans="1:10" hidden="1" x14ac:dyDescent="0.25">
      <c r="A247" s="282"/>
      <c r="B247" s="319" t="s">
        <v>430</v>
      </c>
      <c r="C247" s="320"/>
      <c r="D247" s="270">
        <f>D245</f>
        <v>0</v>
      </c>
      <c r="E247" s="270">
        <f t="shared" ref="E247:G247" si="99">E245</f>
        <v>3243333.44</v>
      </c>
      <c r="F247" s="270">
        <f t="shared" si="99"/>
        <v>0</v>
      </c>
      <c r="G247" s="270">
        <f t="shared" si="99"/>
        <v>-3243333.44</v>
      </c>
      <c r="H247" s="251">
        <f t="shared" si="93"/>
        <v>0</v>
      </c>
      <c r="I247" s="251">
        <f>IF(G247&lt;0,1,0)</f>
        <v>1</v>
      </c>
    </row>
    <row r="248" spans="1:10" hidden="1" x14ac:dyDescent="0.25">
      <c r="A248" s="254"/>
      <c r="B248" s="280"/>
      <c r="C248" s="278"/>
      <c r="D248" s="279"/>
      <c r="E248" s="275"/>
      <c r="F248" s="275"/>
      <c r="G248" s="259"/>
      <c r="H248" s="251"/>
      <c r="I248" s="251"/>
    </row>
    <row r="249" spans="1:10" ht="25.5" x14ac:dyDescent="0.25">
      <c r="A249" s="247" t="s">
        <v>528</v>
      </c>
      <c r="B249" s="248" t="s">
        <v>529</v>
      </c>
      <c r="C249" s="276"/>
      <c r="D249" s="277">
        <f>D254</f>
        <v>36115290</v>
      </c>
      <c r="E249" s="277">
        <f t="shared" ref="E249:G251" si="100">E254</f>
        <v>231504760</v>
      </c>
      <c r="F249" s="277">
        <f t="shared" si="100"/>
        <v>0</v>
      </c>
      <c r="G249" s="277">
        <f t="shared" si="100"/>
        <v>-195389470</v>
      </c>
      <c r="H249" s="251">
        <f t="shared" ref="H249:H257" si="101">IF(F249&gt;E249,1,0)</f>
        <v>0</v>
      </c>
      <c r="I249" s="251">
        <f t="shared" ref="I249:I425" si="102">IF(G249&lt;0,1,0)</f>
        <v>1</v>
      </c>
    </row>
    <row r="250" spans="1:10" x14ac:dyDescent="0.25">
      <c r="A250" s="306"/>
      <c r="B250" s="307" t="s">
        <v>429</v>
      </c>
      <c r="C250" s="308"/>
      <c r="D250" s="321">
        <f>D255</f>
        <v>0</v>
      </c>
      <c r="E250" s="321">
        <f t="shared" si="100"/>
        <v>0</v>
      </c>
      <c r="F250" s="321">
        <f t="shared" si="100"/>
        <v>0</v>
      </c>
      <c r="G250" s="321">
        <f t="shared" si="100"/>
        <v>0</v>
      </c>
      <c r="H250" s="251">
        <f t="shared" si="101"/>
        <v>0</v>
      </c>
      <c r="I250" s="251">
        <f t="shared" si="102"/>
        <v>0</v>
      </c>
    </row>
    <row r="251" spans="1:10" x14ac:dyDescent="0.25">
      <c r="A251" s="306"/>
      <c r="B251" s="307" t="s">
        <v>430</v>
      </c>
      <c r="C251" s="308"/>
      <c r="D251" s="321">
        <f>D256</f>
        <v>0</v>
      </c>
      <c r="E251" s="321">
        <f t="shared" si="100"/>
        <v>0</v>
      </c>
      <c r="F251" s="321">
        <f t="shared" si="100"/>
        <v>0</v>
      </c>
      <c r="G251" s="321">
        <f t="shared" si="100"/>
        <v>0</v>
      </c>
      <c r="H251" s="251">
        <f t="shared" si="101"/>
        <v>0</v>
      </c>
      <c r="I251" s="251">
        <f t="shared" si="102"/>
        <v>0</v>
      </c>
    </row>
    <row r="252" spans="1:10" x14ac:dyDescent="0.25">
      <c r="A252" s="306"/>
      <c r="B252" s="307" t="s">
        <v>447</v>
      </c>
      <c r="C252" s="308"/>
      <c r="D252" s="321">
        <f>D249-D250-D251</f>
        <v>36115290</v>
      </c>
      <c r="E252" s="321">
        <f t="shared" ref="E252:G252" si="103">E249-E250-E251</f>
        <v>231504760</v>
      </c>
      <c r="F252" s="321">
        <f t="shared" si="103"/>
        <v>0</v>
      </c>
      <c r="G252" s="321">
        <f t="shared" si="103"/>
        <v>-195389470</v>
      </c>
      <c r="H252" s="251">
        <f t="shared" si="101"/>
        <v>0</v>
      </c>
      <c r="I252" s="251">
        <f t="shared" si="102"/>
        <v>1</v>
      </c>
    </row>
    <row r="253" spans="1:10" x14ac:dyDescent="0.25">
      <c r="A253" s="254"/>
      <c r="B253" s="240" t="s">
        <v>376</v>
      </c>
      <c r="C253" s="278"/>
      <c r="D253" s="279"/>
      <c r="E253" s="275"/>
      <c r="F253" s="275"/>
      <c r="G253" s="259"/>
      <c r="H253" s="251">
        <f t="shared" si="101"/>
        <v>0</v>
      </c>
      <c r="I253" s="251">
        <f t="shared" si="102"/>
        <v>0</v>
      </c>
    </row>
    <row r="254" spans="1:10" ht="255" x14ac:dyDescent="0.25">
      <c r="A254" s="1025"/>
      <c r="B254" s="280" t="s">
        <v>530</v>
      </c>
      <c r="C254" s="256" t="s">
        <v>531</v>
      </c>
      <c r="D254" s="333">
        <v>36115290</v>
      </c>
      <c r="E254" s="275">
        <f>'Прочая  субсидия_МР  и  ГО'!AP43</f>
        <v>231504760</v>
      </c>
      <c r="F254" s="275">
        <f>'Прочая  субсидия_МР  и  ГО'!AQ43</f>
        <v>0</v>
      </c>
      <c r="G254" s="259">
        <f t="shared" ref="G254" si="104">D254-E254</f>
        <v>-195389470</v>
      </c>
      <c r="H254" s="251">
        <f t="shared" si="101"/>
        <v>0</v>
      </c>
      <c r="I254" s="251">
        <f t="shared" si="102"/>
        <v>1</v>
      </c>
    </row>
    <row r="255" spans="1:10" x14ac:dyDescent="0.25">
      <c r="A255" s="312"/>
      <c r="B255" s="313" t="s">
        <v>429</v>
      </c>
      <c r="C255" s="314"/>
      <c r="D255" s="315"/>
      <c r="E255" s="315"/>
      <c r="F255" s="315"/>
      <c r="G255" s="315"/>
      <c r="H255" s="251">
        <f t="shared" si="101"/>
        <v>0</v>
      </c>
      <c r="I255" s="251">
        <f t="shared" si="102"/>
        <v>0</v>
      </c>
    </row>
    <row r="256" spans="1:10" x14ac:dyDescent="0.25">
      <c r="A256" s="312"/>
      <c r="B256" s="313" t="s">
        <v>430</v>
      </c>
      <c r="C256" s="314"/>
      <c r="D256" s="315"/>
      <c r="E256" s="315"/>
      <c r="F256" s="315"/>
      <c r="G256" s="315"/>
      <c r="H256" s="251">
        <f t="shared" si="101"/>
        <v>0</v>
      </c>
      <c r="I256" s="251">
        <f t="shared" si="102"/>
        <v>0</v>
      </c>
    </row>
    <row r="257" spans="1:9" x14ac:dyDescent="0.25">
      <c r="A257" s="312"/>
      <c r="B257" s="313" t="s">
        <v>447</v>
      </c>
      <c r="C257" s="314"/>
      <c r="D257" s="315">
        <f>D254</f>
        <v>36115290</v>
      </c>
      <c r="E257" s="315">
        <f t="shared" ref="E257:G257" si="105">E254</f>
        <v>231504760</v>
      </c>
      <c r="F257" s="315">
        <f t="shared" si="105"/>
        <v>0</v>
      </c>
      <c r="G257" s="315">
        <f t="shared" si="105"/>
        <v>-195389470</v>
      </c>
      <c r="H257" s="251">
        <f t="shared" si="101"/>
        <v>0</v>
      </c>
      <c r="I257" s="251">
        <f t="shared" si="102"/>
        <v>1</v>
      </c>
    </row>
    <row r="258" spans="1:9" x14ac:dyDescent="0.25">
      <c r="A258" s="254"/>
      <c r="B258" s="280"/>
      <c r="C258" s="278"/>
      <c r="D258" s="279"/>
      <c r="E258" s="275"/>
      <c r="F258" s="275"/>
      <c r="G258" s="259"/>
      <c r="H258" s="251"/>
      <c r="I258" s="251"/>
    </row>
    <row r="259" spans="1:9" x14ac:dyDescent="0.25">
      <c r="A259" s="247" t="s">
        <v>532</v>
      </c>
      <c r="B259" s="248" t="s">
        <v>533</v>
      </c>
      <c r="C259" s="276"/>
      <c r="D259" s="277">
        <f>D264+D267</f>
        <v>8000000</v>
      </c>
      <c r="E259" s="277">
        <f t="shared" ref="E259:G261" si="106">E264+E267</f>
        <v>8000000</v>
      </c>
      <c r="F259" s="277">
        <f t="shared" si="106"/>
        <v>4198000</v>
      </c>
      <c r="G259" s="277">
        <f t="shared" si="106"/>
        <v>0</v>
      </c>
      <c r="H259" s="251">
        <f t="shared" ref="H259:H263" si="107">IF(F259&gt;E259,1,0)</f>
        <v>0</v>
      </c>
      <c r="I259" s="251">
        <f t="shared" si="102"/>
        <v>0</v>
      </c>
    </row>
    <row r="260" spans="1:9" x14ac:dyDescent="0.25">
      <c r="A260" s="306"/>
      <c r="B260" s="307" t="s">
        <v>429</v>
      </c>
      <c r="C260" s="308"/>
      <c r="D260" s="321">
        <f>D265+D268</f>
        <v>8000000</v>
      </c>
      <c r="E260" s="321">
        <f t="shared" si="106"/>
        <v>8000000</v>
      </c>
      <c r="F260" s="321">
        <f t="shared" si="106"/>
        <v>4198000</v>
      </c>
      <c r="G260" s="321">
        <f t="shared" si="106"/>
        <v>0</v>
      </c>
      <c r="H260" s="251">
        <f t="shared" si="107"/>
        <v>0</v>
      </c>
      <c r="I260" s="251">
        <f t="shared" si="102"/>
        <v>0</v>
      </c>
    </row>
    <row r="261" spans="1:9" x14ac:dyDescent="0.25">
      <c r="A261" s="306"/>
      <c r="B261" s="307" t="s">
        <v>430</v>
      </c>
      <c r="C261" s="308"/>
      <c r="D261" s="321">
        <f>D266+D269</f>
        <v>0</v>
      </c>
      <c r="E261" s="321">
        <f t="shared" si="106"/>
        <v>0</v>
      </c>
      <c r="F261" s="321">
        <f t="shared" si="106"/>
        <v>0</v>
      </c>
      <c r="G261" s="321">
        <f t="shared" si="106"/>
        <v>0</v>
      </c>
      <c r="H261" s="251">
        <f t="shared" si="107"/>
        <v>0</v>
      </c>
      <c r="I261" s="251">
        <f t="shared" si="102"/>
        <v>0</v>
      </c>
    </row>
    <row r="262" spans="1:9" x14ac:dyDescent="0.25">
      <c r="A262" s="306"/>
      <c r="B262" s="307" t="s">
        <v>447</v>
      </c>
      <c r="C262" s="308"/>
      <c r="D262" s="321">
        <f>D259-D260-D261</f>
        <v>0</v>
      </c>
      <c r="E262" s="321">
        <f t="shared" ref="E262:G262" si="108">E259-E260-E261</f>
        <v>0</v>
      </c>
      <c r="F262" s="321">
        <f t="shared" si="108"/>
        <v>0</v>
      </c>
      <c r="G262" s="321">
        <f t="shared" si="108"/>
        <v>0</v>
      </c>
      <c r="H262" s="251">
        <f t="shared" si="107"/>
        <v>0</v>
      </c>
      <c r="I262" s="251">
        <f t="shared" si="102"/>
        <v>0</v>
      </c>
    </row>
    <row r="263" spans="1:9" x14ac:dyDescent="0.25">
      <c r="A263" s="254"/>
      <c r="B263" s="240" t="s">
        <v>376</v>
      </c>
      <c r="C263" s="278"/>
      <c r="D263" s="279"/>
      <c r="E263" s="275"/>
      <c r="F263" s="275"/>
      <c r="G263" s="259"/>
      <c r="H263" s="251">
        <f t="shared" si="107"/>
        <v>0</v>
      </c>
      <c r="I263" s="251">
        <f t="shared" si="102"/>
        <v>0</v>
      </c>
    </row>
    <row r="264" spans="1:9" ht="153" x14ac:dyDescent="0.25">
      <c r="A264" s="254"/>
      <c r="B264" s="280" t="s">
        <v>534</v>
      </c>
      <c r="C264" s="256" t="s">
        <v>535</v>
      </c>
      <c r="D264" s="262">
        <v>8000000</v>
      </c>
      <c r="E264" s="275">
        <f>'Проверочная  таблица'!DV38</f>
        <v>8000000</v>
      </c>
      <c r="F264" s="275">
        <f>'Проверочная  таблица'!DZ38</f>
        <v>4198000</v>
      </c>
      <c r="G264" s="259">
        <f>D264-E264</f>
        <v>0</v>
      </c>
      <c r="H264" s="251">
        <f>IF(F264&gt;E264,1,0)</f>
        <v>0</v>
      </c>
      <c r="I264" s="251">
        <f>IF(G264&lt;0,1,0)</f>
        <v>0</v>
      </c>
    </row>
    <row r="265" spans="1:9" x14ac:dyDescent="0.25">
      <c r="A265" s="312"/>
      <c r="B265" s="313" t="s">
        <v>429</v>
      </c>
      <c r="C265" s="314"/>
      <c r="D265" s="315">
        <f>D264-D266</f>
        <v>8000000</v>
      </c>
      <c r="E265" s="315">
        <f>E264-E266</f>
        <v>8000000</v>
      </c>
      <c r="F265" s="315">
        <f>F264-F266</f>
        <v>4198000</v>
      </c>
      <c r="G265" s="315">
        <f>G264-G266</f>
        <v>0</v>
      </c>
      <c r="H265" s="251">
        <f>IF(F265&gt;E265,1,0)</f>
        <v>0</v>
      </c>
      <c r="I265" s="251">
        <f>IF(G265&lt;0,1,0)</f>
        <v>0</v>
      </c>
    </row>
    <row r="266" spans="1:9" x14ac:dyDescent="0.25">
      <c r="A266" s="312"/>
      <c r="B266" s="313" t="s">
        <v>430</v>
      </c>
      <c r="C266" s="314"/>
      <c r="D266" s="340"/>
      <c r="E266" s="340"/>
      <c r="F266" s="340">
        <v>0</v>
      </c>
      <c r="G266" s="315">
        <f>D266-E266</f>
        <v>0</v>
      </c>
      <c r="H266" s="251">
        <f>IF(F266&gt;E266,1,0)</f>
        <v>0</v>
      </c>
      <c r="I266" s="251">
        <f>IF(G266&lt;0,1,0)</f>
        <v>0</v>
      </c>
    </row>
    <row r="267" spans="1:9" ht="140.25" hidden="1" x14ac:dyDescent="0.25">
      <c r="A267" s="310"/>
      <c r="B267" s="280" t="s">
        <v>431</v>
      </c>
      <c r="C267" s="256" t="s">
        <v>432</v>
      </c>
      <c r="D267" s="279"/>
      <c r="E267" s="258">
        <f>D267</f>
        <v>0</v>
      </c>
      <c r="F267" s="311"/>
      <c r="G267" s="259">
        <f t="shared" ref="G267:G269" si="109">D267-E267</f>
        <v>0</v>
      </c>
      <c r="H267" s="251">
        <f t="shared" ref="H267:H336" si="110">IF(F267&gt;E267,1,0)</f>
        <v>0</v>
      </c>
      <c r="I267" s="251">
        <f t="shared" si="102"/>
        <v>0</v>
      </c>
    </row>
    <row r="268" spans="1:9" hidden="1" x14ac:dyDescent="0.25">
      <c r="A268" s="312"/>
      <c r="B268" s="313" t="s">
        <v>429</v>
      </c>
      <c r="C268" s="314"/>
      <c r="D268" s="315">
        <f>D267-D269</f>
        <v>0</v>
      </c>
      <c r="E268" s="315">
        <f>E267-E269</f>
        <v>0</v>
      </c>
      <c r="F268" s="315">
        <f>F267-F269</f>
        <v>0</v>
      </c>
      <c r="G268" s="315">
        <f t="shared" si="109"/>
        <v>0</v>
      </c>
      <c r="H268" s="251">
        <f t="shared" si="110"/>
        <v>0</v>
      </c>
      <c r="I268" s="251">
        <f t="shared" si="102"/>
        <v>0</v>
      </c>
    </row>
    <row r="269" spans="1:9" hidden="1" x14ac:dyDescent="0.25">
      <c r="A269" s="312"/>
      <c r="B269" s="313" t="s">
        <v>430</v>
      </c>
      <c r="C269" s="314"/>
      <c r="D269" s="340"/>
      <c r="E269" s="316">
        <f>D269</f>
        <v>0</v>
      </c>
      <c r="F269" s="340"/>
      <c r="G269" s="315">
        <f t="shared" si="109"/>
        <v>0</v>
      </c>
      <c r="H269" s="251">
        <f t="shared" si="110"/>
        <v>0</v>
      </c>
      <c r="I269" s="251">
        <f t="shared" si="102"/>
        <v>0</v>
      </c>
    </row>
    <row r="270" spans="1:9" x14ac:dyDescent="0.25">
      <c r="A270" s="254"/>
      <c r="B270" s="280"/>
      <c r="C270" s="278"/>
      <c r="D270" s="279"/>
      <c r="E270" s="275"/>
      <c r="F270" s="275"/>
      <c r="G270" s="259"/>
      <c r="H270" s="251">
        <f t="shared" si="110"/>
        <v>0</v>
      </c>
      <c r="I270" s="251">
        <f t="shared" si="102"/>
        <v>0</v>
      </c>
    </row>
    <row r="271" spans="1:9" x14ac:dyDescent="0.25">
      <c r="A271" s="247" t="s">
        <v>394</v>
      </c>
      <c r="B271" s="248" t="s">
        <v>395</v>
      </c>
      <c r="C271" s="276"/>
      <c r="D271" s="277">
        <f>D276+D330+D279+D283+D309+D303+D306+D287+D291+D295+D333+D315+D318+D299+D327+D312+D321+D324</f>
        <v>2541503249.5700002</v>
      </c>
      <c r="E271" s="277">
        <f t="shared" ref="E271:G271" si="111">E276+E330+E279+E283+E309+E303+E306+E287+E291+E295+E333+E315+E318+E299+E327+E312+E321+E324</f>
        <v>2441503140.0799999</v>
      </c>
      <c r="F271" s="277">
        <f t="shared" si="111"/>
        <v>787824018.65999997</v>
      </c>
      <c r="G271" s="277">
        <f t="shared" si="111"/>
        <v>100000109.49000001</v>
      </c>
      <c r="H271" s="251">
        <f t="shared" si="110"/>
        <v>0</v>
      </c>
      <c r="I271" s="251">
        <f t="shared" si="102"/>
        <v>0</v>
      </c>
    </row>
    <row r="272" spans="1:9" x14ac:dyDescent="0.25">
      <c r="A272" s="306"/>
      <c r="B272" s="307" t="s">
        <v>429</v>
      </c>
      <c r="C272" s="308"/>
      <c r="D272" s="321">
        <f>D277+D331+D280+D284+D310+D304+D307+D288+D292+D296+D334+D316+D319+D300+D328+D313+D322+D325</f>
        <v>1333815280.6100001</v>
      </c>
      <c r="E272" s="321">
        <f t="shared" ref="E272:G272" si="112">E277+E331+E280+E284+E310+E304+E307+E288+E292+E296+E334+E316+E319+E300+E328+E313+E322+E325</f>
        <v>1233815171.1200001</v>
      </c>
      <c r="F272" s="321">
        <f t="shared" si="112"/>
        <v>364841152.24000001</v>
      </c>
      <c r="G272" s="321">
        <f t="shared" si="112"/>
        <v>100000109.49000001</v>
      </c>
      <c r="H272" s="251">
        <f t="shared" si="110"/>
        <v>0</v>
      </c>
      <c r="I272" s="251">
        <f t="shared" si="102"/>
        <v>0</v>
      </c>
    </row>
    <row r="273" spans="1:10" x14ac:dyDescent="0.25">
      <c r="A273" s="306"/>
      <c r="B273" s="307" t="s">
        <v>430</v>
      </c>
      <c r="C273" s="308"/>
      <c r="D273" s="321">
        <f>D278+D332+D281+D285+D311+D305+D308+D289+D293+D297+D335+D317+D320+D301+D329+D314+D323+D326</f>
        <v>0</v>
      </c>
      <c r="E273" s="321">
        <f t="shared" ref="E273:G273" si="113">E278+E332+E281+E285+E311+E305+E308+E289+E293+E297+E335+E317+E320+E301+E329+E314+E323+E326</f>
        <v>0</v>
      </c>
      <c r="F273" s="321">
        <f t="shared" si="113"/>
        <v>0</v>
      </c>
      <c r="G273" s="321">
        <f t="shared" si="113"/>
        <v>0</v>
      </c>
      <c r="H273" s="251">
        <f t="shared" si="110"/>
        <v>0</v>
      </c>
      <c r="I273" s="251">
        <f t="shared" si="102"/>
        <v>0</v>
      </c>
    </row>
    <row r="274" spans="1:10" x14ac:dyDescent="0.25">
      <c r="A274" s="306"/>
      <c r="B274" s="307" t="s">
        <v>447</v>
      </c>
      <c r="C274" s="308"/>
      <c r="D274" s="321">
        <f t="shared" ref="D274" si="114">D271-D272-D273</f>
        <v>1207687968.96</v>
      </c>
      <c r="E274" s="321">
        <f t="shared" ref="E274:G274" si="115">E271-E272-E273</f>
        <v>1207687968.9599998</v>
      </c>
      <c r="F274" s="321">
        <f t="shared" si="115"/>
        <v>422982866.41999996</v>
      </c>
      <c r="G274" s="321">
        <f t="shared" si="115"/>
        <v>0</v>
      </c>
      <c r="H274" s="251">
        <f t="shared" si="110"/>
        <v>0</v>
      </c>
      <c r="I274" s="251">
        <f t="shared" si="102"/>
        <v>0</v>
      </c>
    </row>
    <row r="275" spans="1:10" x14ac:dyDescent="0.25">
      <c r="A275" s="254"/>
      <c r="B275" s="240" t="s">
        <v>376</v>
      </c>
      <c r="C275" s="278"/>
      <c r="D275" s="279"/>
      <c r="E275" s="275"/>
      <c r="F275" s="275"/>
      <c r="G275" s="259"/>
      <c r="H275" s="251">
        <f t="shared" si="110"/>
        <v>0</v>
      </c>
      <c r="I275" s="251">
        <f t="shared" si="102"/>
        <v>0</v>
      </c>
    </row>
    <row r="276" spans="1:10" ht="242.25" x14ac:dyDescent="0.25">
      <c r="A276" s="254"/>
      <c r="B276" s="255" t="s">
        <v>536</v>
      </c>
      <c r="C276" s="256" t="s">
        <v>537</v>
      </c>
      <c r="D276" s="279">
        <v>9900000</v>
      </c>
      <c r="E276" s="275">
        <f>'Проверочная  таблица'!DU38</f>
        <v>9900000</v>
      </c>
      <c r="F276" s="275">
        <f>'Проверочная  таблица'!DY38</f>
        <v>4210000</v>
      </c>
      <c r="G276" s="259">
        <f>D276-E276</f>
        <v>0</v>
      </c>
      <c r="H276" s="251">
        <f t="shared" si="110"/>
        <v>0</v>
      </c>
      <c r="I276" s="251">
        <f t="shared" si="102"/>
        <v>0</v>
      </c>
    </row>
    <row r="277" spans="1:10" x14ac:dyDescent="0.25">
      <c r="A277" s="312"/>
      <c r="B277" s="313" t="s">
        <v>429</v>
      </c>
      <c r="C277" s="314"/>
      <c r="D277" s="315">
        <f>D276</f>
        <v>9900000</v>
      </c>
      <c r="E277" s="315">
        <f>E276</f>
        <v>9900000</v>
      </c>
      <c r="F277" s="315">
        <f>F276</f>
        <v>4210000</v>
      </c>
      <c r="G277" s="315">
        <f>D277-E277</f>
        <v>0</v>
      </c>
      <c r="H277" s="251">
        <f t="shared" si="110"/>
        <v>0</v>
      </c>
      <c r="I277" s="251">
        <f t="shared" si="102"/>
        <v>0</v>
      </c>
    </row>
    <row r="278" spans="1:10" x14ac:dyDescent="0.25">
      <c r="A278" s="312"/>
      <c r="B278" s="313" t="s">
        <v>430</v>
      </c>
      <c r="C278" s="314"/>
      <c r="D278" s="315"/>
      <c r="E278" s="315"/>
      <c r="F278" s="315"/>
      <c r="G278" s="315">
        <f>D278-E278</f>
        <v>0</v>
      </c>
      <c r="H278" s="251">
        <f t="shared" si="110"/>
        <v>0</v>
      </c>
      <c r="I278" s="251">
        <f t="shared" si="102"/>
        <v>0</v>
      </c>
    </row>
    <row r="279" spans="1:10" ht="63.75" x14ac:dyDescent="0.25">
      <c r="A279" s="254"/>
      <c r="B279" s="255" t="s">
        <v>538</v>
      </c>
      <c r="C279" s="256" t="s">
        <v>539</v>
      </c>
      <c r="D279" s="279">
        <v>44427763.159999996</v>
      </c>
      <c r="E279" s="275">
        <f>'Проверочная  таблица'!EP38</f>
        <v>44427763.159999996</v>
      </c>
      <c r="F279" s="275">
        <f>'Проверочная  таблица'!ET38</f>
        <v>21143092.100000001</v>
      </c>
      <c r="G279" s="259">
        <f t="shared" ref="G279:G283" si="116">D279-E279</f>
        <v>0</v>
      </c>
      <c r="H279" s="251">
        <f t="shared" si="110"/>
        <v>0</v>
      </c>
      <c r="I279" s="251">
        <f t="shared" si="102"/>
        <v>0</v>
      </c>
      <c r="J279" s="317">
        <f>D279+D283</f>
        <v>888555263.15999997</v>
      </c>
    </row>
    <row r="280" spans="1:10" x14ac:dyDescent="0.25">
      <c r="A280" s="312"/>
      <c r="B280" s="313" t="s">
        <v>429</v>
      </c>
      <c r="C280" s="314"/>
      <c r="D280" s="315"/>
      <c r="E280" s="315"/>
      <c r="F280" s="315"/>
      <c r="G280" s="315">
        <f t="shared" si="116"/>
        <v>0</v>
      </c>
      <c r="H280" s="251">
        <f t="shared" si="110"/>
        <v>0</v>
      </c>
      <c r="I280" s="251">
        <f t="shared" si="102"/>
        <v>0</v>
      </c>
    </row>
    <row r="281" spans="1:10" x14ac:dyDescent="0.25">
      <c r="A281" s="312"/>
      <c r="B281" s="313" t="s">
        <v>430</v>
      </c>
      <c r="C281" s="314"/>
      <c r="D281" s="315"/>
      <c r="E281" s="315"/>
      <c r="F281" s="315"/>
      <c r="G281" s="315">
        <f t="shared" si="116"/>
        <v>0</v>
      </c>
      <c r="H281" s="251">
        <f t="shared" si="110"/>
        <v>0</v>
      </c>
      <c r="I281" s="251">
        <f t="shared" si="102"/>
        <v>0</v>
      </c>
    </row>
    <row r="282" spans="1:10" x14ac:dyDescent="0.25">
      <c r="A282" s="312"/>
      <c r="B282" s="313" t="s">
        <v>447</v>
      </c>
      <c r="C282" s="314"/>
      <c r="D282" s="315">
        <f>D279</f>
        <v>44427763.159999996</v>
      </c>
      <c r="E282" s="315">
        <f t="shared" ref="E282:F282" si="117">E279</f>
        <v>44427763.159999996</v>
      </c>
      <c r="F282" s="315">
        <f t="shared" si="117"/>
        <v>21143092.100000001</v>
      </c>
      <c r="G282" s="315">
        <f t="shared" si="116"/>
        <v>0</v>
      </c>
      <c r="H282" s="251">
        <f t="shared" si="110"/>
        <v>0</v>
      </c>
      <c r="I282" s="251">
        <f t="shared" si="102"/>
        <v>0</v>
      </c>
    </row>
    <row r="283" spans="1:10" x14ac:dyDescent="0.25">
      <c r="A283" s="282"/>
      <c r="B283" s="266" t="s">
        <v>398</v>
      </c>
      <c r="C283" s="283" t="s">
        <v>539</v>
      </c>
      <c r="D283" s="318">
        <v>844127500</v>
      </c>
      <c r="E283" s="269">
        <f>'Проверочная  таблица'!EQ38</f>
        <v>844127500</v>
      </c>
      <c r="F283" s="269">
        <f>'Проверочная  таблица'!EU38</f>
        <v>401718749.95999998</v>
      </c>
      <c r="G283" s="270">
        <f t="shared" si="116"/>
        <v>0</v>
      </c>
      <c r="H283" s="251">
        <f t="shared" si="110"/>
        <v>0</v>
      </c>
      <c r="I283" s="251">
        <f t="shared" si="102"/>
        <v>0</v>
      </c>
      <c r="J283" s="317"/>
    </row>
    <row r="284" spans="1:10" x14ac:dyDescent="0.25">
      <c r="A284" s="282"/>
      <c r="B284" s="319" t="s">
        <v>429</v>
      </c>
      <c r="C284" s="320"/>
      <c r="D284" s="270"/>
      <c r="E284" s="270"/>
      <c r="F284" s="270"/>
      <c r="G284" s="270">
        <f>D284-E284</f>
        <v>0</v>
      </c>
      <c r="H284" s="251">
        <f t="shared" si="110"/>
        <v>0</v>
      </c>
      <c r="I284" s="251">
        <f t="shared" si="102"/>
        <v>0</v>
      </c>
    </row>
    <row r="285" spans="1:10" x14ac:dyDescent="0.25">
      <c r="A285" s="282"/>
      <c r="B285" s="319" t="s">
        <v>430</v>
      </c>
      <c r="C285" s="320"/>
      <c r="D285" s="270"/>
      <c r="E285" s="270"/>
      <c r="F285" s="270"/>
      <c r="G285" s="270">
        <f t="shared" ref="G285:G295" si="118">D285-E285</f>
        <v>0</v>
      </c>
      <c r="H285" s="251">
        <f t="shared" si="110"/>
        <v>0</v>
      </c>
      <c r="I285" s="251">
        <f t="shared" si="102"/>
        <v>0</v>
      </c>
    </row>
    <row r="286" spans="1:10" x14ac:dyDescent="0.25">
      <c r="A286" s="282"/>
      <c r="B286" s="319" t="s">
        <v>447</v>
      </c>
      <c r="C286" s="320"/>
      <c r="D286" s="270">
        <f>D283</f>
        <v>844127500</v>
      </c>
      <c r="E286" s="270">
        <f t="shared" ref="E286:F286" si="119">E283</f>
        <v>844127500</v>
      </c>
      <c r="F286" s="270">
        <f t="shared" si="119"/>
        <v>401718749.95999998</v>
      </c>
      <c r="G286" s="270">
        <f t="shared" si="118"/>
        <v>0</v>
      </c>
      <c r="H286" s="251">
        <f t="shared" si="110"/>
        <v>0</v>
      </c>
      <c r="I286" s="251">
        <f t="shared" si="102"/>
        <v>0</v>
      </c>
    </row>
    <row r="287" spans="1:10" ht="63.75" hidden="1" x14ac:dyDescent="0.25">
      <c r="A287" s="310"/>
      <c r="B287" s="255" t="s">
        <v>540</v>
      </c>
      <c r="C287" s="256" t="s">
        <v>541</v>
      </c>
      <c r="D287" s="279"/>
      <c r="E287" s="275">
        <f>'Проверочная  таблица'!OK38</f>
        <v>0</v>
      </c>
      <c r="F287" s="275">
        <f>'Проверочная  таблица'!OO38</f>
        <v>0</v>
      </c>
      <c r="G287" s="259">
        <f t="shared" si="118"/>
        <v>0</v>
      </c>
      <c r="H287" s="251">
        <f t="shared" si="110"/>
        <v>0</v>
      </c>
      <c r="I287" s="251">
        <f>IF(G287&lt;0,1,0)</f>
        <v>0</v>
      </c>
      <c r="J287" s="317">
        <f>D287+D291</f>
        <v>0</v>
      </c>
    </row>
    <row r="288" spans="1:10" hidden="1" x14ac:dyDescent="0.25">
      <c r="A288" s="312"/>
      <c r="B288" s="313" t="s">
        <v>429</v>
      </c>
      <c r="C288" s="314"/>
      <c r="D288" s="315"/>
      <c r="E288" s="315"/>
      <c r="F288" s="315"/>
      <c r="G288" s="315">
        <f t="shared" si="118"/>
        <v>0</v>
      </c>
      <c r="H288" s="251">
        <f t="shared" si="110"/>
        <v>0</v>
      </c>
      <c r="I288" s="251">
        <f>IF(G288&lt;0,1,0)</f>
        <v>0</v>
      </c>
    </row>
    <row r="289" spans="1:10" hidden="1" x14ac:dyDescent="0.25">
      <c r="A289" s="312"/>
      <c r="B289" s="313" t="s">
        <v>430</v>
      </c>
      <c r="C289" s="314"/>
      <c r="D289" s="315"/>
      <c r="E289" s="315"/>
      <c r="F289" s="315"/>
      <c r="G289" s="315">
        <f t="shared" si="118"/>
        <v>0</v>
      </c>
      <c r="H289" s="251">
        <f t="shared" si="110"/>
        <v>0</v>
      </c>
      <c r="I289" s="251">
        <f>IF(G289&lt;0,1,0)</f>
        <v>0</v>
      </c>
    </row>
    <row r="290" spans="1:10" hidden="1" x14ac:dyDescent="0.25">
      <c r="A290" s="312"/>
      <c r="B290" s="313" t="s">
        <v>447</v>
      </c>
      <c r="C290" s="314"/>
      <c r="D290" s="315">
        <f>D287-D288-D289</f>
        <v>0</v>
      </c>
      <c r="E290" s="315">
        <f t="shared" ref="E290:F290" si="120">E287-E288-E289</f>
        <v>0</v>
      </c>
      <c r="F290" s="315">
        <f t="shared" si="120"/>
        <v>0</v>
      </c>
      <c r="G290" s="315">
        <f t="shared" si="118"/>
        <v>0</v>
      </c>
      <c r="H290" s="251"/>
      <c r="I290" s="251"/>
    </row>
    <row r="291" spans="1:10" hidden="1" x14ac:dyDescent="0.25">
      <c r="A291" s="282"/>
      <c r="B291" s="266" t="s">
        <v>398</v>
      </c>
      <c r="C291" s="283" t="s">
        <v>542</v>
      </c>
      <c r="D291" s="284"/>
      <c r="E291" s="269">
        <f>'Проверочная  таблица'!OL38</f>
        <v>0</v>
      </c>
      <c r="F291" s="269">
        <f>'Проверочная  таблица'!OP38</f>
        <v>0</v>
      </c>
      <c r="G291" s="270">
        <f t="shared" si="118"/>
        <v>0</v>
      </c>
      <c r="H291" s="251">
        <f t="shared" si="110"/>
        <v>0</v>
      </c>
      <c r="I291" s="251">
        <f>IF(G291&lt;0,1,0)</f>
        <v>0</v>
      </c>
    </row>
    <row r="292" spans="1:10" hidden="1" x14ac:dyDescent="0.25">
      <c r="A292" s="282"/>
      <c r="B292" s="319" t="s">
        <v>429</v>
      </c>
      <c r="C292" s="320"/>
      <c r="D292" s="270"/>
      <c r="E292" s="270"/>
      <c r="F292" s="270"/>
      <c r="G292" s="270">
        <f t="shared" si="118"/>
        <v>0</v>
      </c>
      <c r="H292" s="251">
        <f t="shared" si="110"/>
        <v>0</v>
      </c>
      <c r="I292" s="251">
        <f>IF(G292&lt;0,1,0)</f>
        <v>0</v>
      </c>
    </row>
    <row r="293" spans="1:10" hidden="1" x14ac:dyDescent="0.25">
      <c r="A293" s="282"/>
      <c r="B293" s="319" t="s">
        <v>430</v>
      </c>
      <c r="C293" s="320"/>
      <c r="D293" s="270"/>
      <c r="E293" s="270"/>
      <c r="F293" s="270"/>
      <c r="G293" s="270">
        <f t="shared" si="118"/>
        <v>0</v>
      </c>
      <c r="H293" s="251">
        <f t="shared" si="110"/>
        <v>0</v>
      </c>
      <c r="I293" s="251">
        <f>IF(G293&lt;0,1,0)</f>
        <v>0</v>
      </c>
    </row>
    <row r="294" spans="1:10" hidden="1" x14ac:dyDescent="0.25">
      <c r="A294" s="282"/>
      <c r="B294" s="319" t="s">
        <v>447</v>
      </c>
      <c r="C294" s="320"/>
      <c r="D294" s="270">
        <f>D291-D292-D293</f>
        <v>0</v>
      </c>
      <c r="E294" s="270">
        <f t="shared" ref="E294:F294" si="121">E291-E292-E293</f>
        <v>0</v>
      </c>
      <c r="F294" s="270">
        <f t="shared" si="121"/>
        <v>0</v>
      </c>
      <c r="G294" s="270">
        <f t="shared" si="118"/>
        <v>0</v>
      </c>
      <c r="H294" s="251"/>
      <c r="I294" s="251"/>
    </row>
    <row r="295" spans="1:10" ht="89.25" hidden="1" x14ac:dyDescent="0.25">
      <c r="A295" s="310"/>
      <c r="B295" s="280" t="s">
        <v>543</v>
      </c>
      <c r="C295" s="256" t="s">
        <v>544</v>
      </c>
      <c r="D295" s="279"/>
      <c r="E295" s="281">
        <f>'Проверочная  таблица'!OM38</f>
        <v>0</v>
      </c>
      <c r="F295" s="281">
        <f>'Проверочная  таблица'!OQ38</f>
        <v>0</v>
      </c>
      <c r="G295" s="259">
        <f t="shared" si="118"/>
        <v>0</v>
      </c>
      <c r="H295" s="251">
        <f t="shared" ref="H295:H329" si="122">IF(F295&gt;E295,1,0)</f>
        <v>0</v>
      </c>
      <c r="I295" s="251">
        <f t="shared" ref="I295:I329" si="123">IF(G295&lt;0,1,0)</f>
        <v>0</v>
      </c>
    </row>
    <row r="296" spans="1:10" hidden="1" x14ac:dyDescent="0.25">
      <c r="A296" s="312"/>
      <c r="B296" s="313" t="s">
        <v>429</v>
      </c>
      <c r="C296" s="314"/>
      <c r="D296" s="315"/>
      <c r="E296" s="315"/>
      <c r="F296" s="315"/>
      <c r="G296" s="315"/>
      <c r="H296" s="251">
        <f t="shared" si="122"/>
        <v>0</v>
      </c>
      <c r="I296" s="251">
        <f t="shared" si="123"/>
        <v>0</v>
      </c>
    </row>
    <row r="297" spans="1:10" hidden="1" x14ac:dyDescent="0.25">
      <c r="A297" s="312"/>
      <c r="B297" s="313" t="s">
        <v>545</v>
      </c>
      <c r="C297" s="314"/>
      <c r="D297" s="315"/>
      <c r="E297" s="315"/>
      <c r="F297" s="315"/>
      <c r="G297" s="315"/>
      <c r="H297" s="251">
        <f t="shared" si="122"/>
        <v>0</v>
      </c>
      <c r="I297" s="251">
        <f t="shared" si="123"/>
        <v>0</v>
      </c>
    </row>
    <row r="298" spans="1:10" hidden="1" x14ac:dyDescent="0.25">
      <c r="A298" s="312"/>
      <c r="B298" s="313" t="s">
        <v>447</v>
      </c>
      <c r="C298" s="314"/>
      <c r="D298" s="316">
        <f>D295-D296-D297</f>
        <v>0</v>
      </c>
      <c r="E298" s="316">
        <f t="shared" ref="E298:G298" si="124">E295-E296-E297</f>
        <v>0</v>
      </c>
      <c r="F298" s="316">
        <f t="shared" si="124"/>
        <v>0</v>
      </c>
      <c r="G298" s="316">
        <f t="shared" si="124"/>
        <v>0</v>
      </c>
      <c r="H298" s="251">
        <f t="shared" si="122"/>
        <v>0</v>
      </c>
      <c r="I298" s="251">
        <f t="shared" si="123"/>
        <v>0</v>
      </c>
    </row>
    <row r="299" spans="1:10" ht="89.25" x14ac:dyDescent="0.25">
      <c r="A299" s="254"/>
      <c r="B299" s="255" t="s">
        <v>546</v>
      </c>
      <c r="C299" s="256" t="s">
        <v>547</v>
      </c>
      <c r="D299" s="279">
        <v>319132705.80000001</v>
      </c>
      <c r="E299" s="275">
        <f>'Проверочная  таблица'!EO38</f>
        <v>319132705.80000001</v>
      </c>
      <c r="F299" s="275">
        <f>'Проверочная  таблица'!ES38</f>
        <v>121024.36</v>
      </c>
      <c r="G299" s="259">
        <f t="shared" ref="G299:G332" si="125">D299-E299</f>
        <v>0</v>
      </c>
      <c r="H299" s="251">
        <f t="shared" si="122"/>
        <v>0</v>
      </c>
      <c r="I299" s="251">
        <f t="shared" si="123"/>
        <v>0</v>
      </c>
    </row>
    <row r="300" spans="1:10" x14ac:dyDescent="0.25">
      <c r="A300" s="312"/>
      <c r="B300" s="313" t="s">
        <v>429</v>
      </c>
      <c r="C300" s="314"/>
      <c r="D300" s="315"/>
      <c r="E300" s="315"/>
      <c r="F300" s="315"/>
      <c r="G300" s="315">
        <f t="shared" si="125"/>
        <v>0</v>
      </c>
      <c r="H300" s="251">
        <f t="shared" si="122"/>
        <v>0</v>
      </c>
      <c r="I300" s="251">
        <f t="shared" si="123"/>
        <v>0</v>
      </c>
    </row>
    <row r="301" spans="1:10" x14ac:dyDescent="0.25">
      <c r="A301" s="312"/>
      <c r="B301" s="313" t="s">
        <v>430</v>
      </c>
      <c r="C301" s="314"/>
      <c r="D301" s="315"/>
      <c r="E301" s="315"/>
      <c r="F301" s="315"/>
      <c r="G301" s="315">
        <f t="shared" si="125"/>
        <v>0</v>
      </c>
      <c r="H301" s="251">
        <f t="shared" si="122"/>
        <v>0</v>
      </c>
      <c r="I301" s="251">
        <f t="shared" si="123"/>
        <v>0</v>
      </c>
    </row>
    <row r="302" spans="1:10" x14ac:dyDescent="0.25">
      <c r="A302" s="312"/>
      <c r="B302" s="313" t="s">
        <v>447</v>
      </c>
      <c r="C302" s="314"/>
      <c r="D302" s="315">
        <f>D299</f>
        <v>319132705.80000001</v>
      </c>
      <c r="E302" s="315">
        <f t="shared" ref="E302:F302" si="126">E299</f>
        <v>319132705.80000001</v>
      </c>
      <c r="F302" s="315">
        <f t="shared" si="126"/>
        <v>121024.36</v>
      </c>
      <c r="G302" s="315">
        <f t="shared" si="125"/>
        <v>0</v>
      </c>
      <c r="H302" s="251">
        <f t="shared" si="122"/>
        <v>0</v>
      </c>
      <c r="I302" s="251">
        <f t="shared" si="123"/>
        <v>0</v>
      </c>
    </row>
    <row r="303" spans="1:10" ht="114.75" x14ac:dyDescent="0.25">
      <c r="A303" s="254"/>
      <c r="B303" s="255" t="s">
        <v>548</v>
      </c>
      <c r="C303" s="256" t="s">
        <v>549</v>
      </c>
      <c r="D303" s="279">
        <f>157442.11+157442.11</f>
        <v>314884.21999999997</v>
      </c>
      <c r="E303" s="275">
        <f>'Проверочная  таблица'!EC38</f>
        <v>314884.21999999974</v>
      </c>
      <c r="F303" s="275">
        <f>'Проверочная  таблица'!EF38</f>
        <v>0</v>
      </c>
      <c r="G303" s="259">
        <f t="shared" si="125"/>
        <v>0</v>
      </c>
      <c r="H303" s="251">
        <f t="shared" si="122"/>
        <v>0</v>
      </c>
      <c r="I303" s="251">
        <f t="shared" si="123"/>
        <v>0</v>
      </c>
      <c r="J303" s="317">
        <f>D303+D306</f>
        <v>6297684.2199999997</v>
      </c>
    </row>
    <row r="304" spans="1:10" x14ac:dyDescent="0.25">
      <c r="A304" s="312"/>
      <c r="B304" s="313" t="s">
        <v>429</v>
      </c>
      <c r="C304" s="314"/>
      <c r="D304" s="315">
        <f>D303</f>
        <v>314884.21999999997</v>
      </c>
      <c r="E304" s="315">
        <f>E303</f>
        <v>314884.21999999974</v>
      </c>
      <c r="F304" s="315">
        <f>F303</f>
        <v>0</v>
      </c>
      <c r="G304" s="315">
        <f t="shared" si="125"/>
        <v>0</v>
      </c>
      <c r="H304" s="251">
        <f t="shared" si="122"/>
        <v>0</v>
      </c>
      <c r="I304" s="251">
        <f t="shared" si="123"/>
        <v>0</v>
      </c>
    </row>
    <row r="305" spans="1:10" x14ac:dyDescent="0.25">
      <c r="A305" s="312"/>
      <c r="B305" s="313" t="s">
        <v>430</v>
      </c>
      <c r="C305" s="314"/>
      <c r="D305" s="315"/>
      <c r="E305" s="315"/>
      <c r="F305" s="315"/>
      <c r="G305" s="315">
        <f t="shared" si="125"/>
        <v>0</v>
      </c>
      <c r="H305" s="251">
        <f t="shared" si="122"/>
        <v>0</v>
      </c>
      <c r="I305" s="251">
        <f t="shared" si="123"/>
        <v>0</v>
      </c>
    </row>
    <row r="306" spans="1:10" x14ac:dyDescent="0.25">
      <c r="A306" s="282"/>
      <c r="B306" s="266" t="s">
        <v>398</v>
      </c>
      <c r="C306" s="283" t="s">
        <v>549</v>
      </c>
      <c r="D306" s="318">
        <f>2991400+2991400</f>
        <v>5982800</v>
      </c>
      <c r="E306" s="269">
        <f>'Проверочная  таблица'!ED38</f>
        <v>5982800</v>
      </c>
      <c r="F306" s="269">
        <f>'Проверочная  таблица'!EG38</f>
        <v>0</v>
      </c>
      <c r="G306" s="270">
        <f t="shared" si="125"/>
        <v>0</v>
      </c>
      <c r="H306" s="251">
        <f t="shared" si="122"/>
        <v>0</v>
      </c>
      <c r="I306" s="251">
        <f t="shared" si="123"/>
        <v>0</v>
      </c>
    </row>
    <row r="307" spans="1:10" x14ac:dyDescent="0.25">
      <c r="A307" s="282"/>
      <c r="B307" s="319" t="s">
        <v>429</v>
      </c>
      <c r="C307" s="320"/>
      <c r="D307" s="270">
        <f>D306</f>
        <v>5982800</v>
      </c>
      <c r="E307" s="270">
        <f>E306</f>
        <v>5982800</v>
      </c>
      <c r="F307" s="270">
        <f>F306</f>
        <v>0</v>
      </c>
      <c r="G307" s="270">
        <f t="shared" si="125"/>
        <v>0</v>
      </c>
      <c r="H307" s="251">
        <f t="shared" si="122"/>
        <v>0</v>
      </c>
      <c r="I307" s="251">
        <f t="shared" si="123"/>
        <v>0</v>
      </c>
    </row>
    <row r="308" spans="1:10" x14ac:dyDescent="0.25">
      <c r="A308" s="282"/>
      <c r="B308" s="319" t="s">
        <v>430</v>
      </c>
      <c r="C308" s="320"/>
      <c r="D308" s="270"/>
      <c r="E308" s="270"/>
      <c r="F308" s="270"/>
      <c r="G308" s="270">
        <f t="shared" si="125"/>
        <v>0</v>
      </c>
      <c r="H308" s="251">
        <f t="shared" si="122"/>
        <v>0</v>
      </c>
      <c r="I308" s="251">
        <f t="shared" si="123"/>
        <v>0</v>
      </c>
    </row>
    <row r="309" spans="1:10" ht="127.5" x14ac:dyDescent="0.25">
      <c r="A309" s="254"/>
      <c r="B309" s="280" t="s">
        <v>550</v>
      </c>
      <c r="C309" s="256" t="s">
        <v>551</v>
      </c>
      <c r="D309" s="279">
        <v>372800000</v>
      </c>
      <c r="E309" s="281">
        <f>'Прочая  субсидия_МР  и  ГО'!J43</f>
        <v>272800000</v>
      </c>
      <c r="F309" s="281">
        <f>'Прочая  субсидия_МР  и  ГО'!K43</f>
        <v>0</v>
      </c>
      <c r="G309" s="259">
        <f t="shared" si="125"/>
        <v>100000000</v>
      </c>
      <c r="H309" s="251">
        <f t="shared" si="122"/>
        <v>0</v>
      </c>
      <c r="I309" s="251">
        <f t="shared" si="123"/>
        <v>0</v>
      </c>
    </row>
    <row r="310" spans="1:10" x14ac:dyDescent="0.25">
      <c r="A310" s="254"/>
      <c r="B310" s="313" t="s">
        <v>429</v>
      </c>
      <c r="C310" s="314"/>
      <c r="D310" s="315">
        <f>D309-D311</f>
        <v>372800000</v>
      </c>
      <c r="E310" s="315">
        <f t="shared" ref="E310:F310" si="127">E309-E311</f>
        <v>272800000</v>
      </c>
      <c r="F310" s="315">
        <f t="shared" si="127"/>
        <v>0</v>
      </c>
      <c r="G310" s="315">
        <f t="shared" si="125"/>
        <v>100000000</v>
      </c>
      <c r="H310" s="251">
        <f t="shared" si="122"/>
        <v>0</v>
      </c>
      <c r="I310" s="251">
        <f t="shared" si="123"/>
        <v>0</v>
      </c>
    </row>
    <row r="311" spans="1:10" x14ac:dyDescent="0.25">
      <c r="A311" s="254"/>
      <c r="B311" s="313" t="s">
        <v>430</v>
      </c>
      <c r="C311" s="314"/>
      <c r="D311" s="340"/>
      <c r="E311" s="316"/>
      <c r="F311" s="340"/>
      <c r="G311" s="315">
        <f t="shared" si="125"/>
        <v>0</v>
      </c>
      <c r="H311" s="251">
        <f t="shared" si="122"/>
        <v>0</v>
      </c>
      <c r="I311" s="251">
        <f t="shared" si="123"/>
        <v>0</v>
      </c>
    </row>
    <row r="312" spans="1:10" ht="140.25" x14ac:dyDescent="0.25">
      <c r="A312" s="254"/>
      <c r="B312" s="280" t="s">
        <v>552</v>
      </c>
      <c r="C312" s="256" t="s">
        <v>553</v>
      </c>
      <c r="D312" s="279">
        <v>60000000</v>
      </c>
      <c r="E312" s="281">
        <f>'Прочая  субсидия_МР  и  ГО'!L43</f>
        <v>60000000</v>
      </c>
      <c r="F312" s="281">
        <f>'Прочая  субсидия_МР  и  ГО'!M43</f>
        <v>0</v>
      </c>
      <c r="G312" s="259">
        <f t="shared" si="125"/>
        <v>0</v>
      </c>
      <c r="H312" s="251">
        <f t="shared" si="122"/>
        <v>0</v>
      </c>
      <c r="I312" s="251">
        <f t="shared" si="123"/>
        <v>0</v>
      </c>
    </row>
    <row r="313" spans="1:10" x14ac:dyDescent="0.25">
      <c r="A313" s="254"/>
      <c r="B313" s="313" t="s">
        <v>429</v>
      </c>
      <c r="C313" s="314"/>
      <c r="D313" s="315">
        <f>D312-D314</f>
        <v>60000000</v>
      </c>
      <c r="E313" s="315">
        <f t="shared" ref="E313:F313" si="128">E312-E314</f>
        <v>60000000</v>
      </c>
      <c r="F313" s="315">
        <f t="shared" si="128"/>
        <v>0</v>
      </c>
      <c r="G313" s="315">
        <f t="shared" si="125"/>
        <v>0</v>
      </c>
      <c r="H313" s="251">
        <f t="shared" si="122"/>
        <v>0</v>
      </c>
      <c r="I313" s="251">
        <f t="shared" si="123"/>
        <v>0</v>
      </c>
    </row>
    <row r="314" spans="1:10" x14ac:dyDescent="0.25">
      <c r="A314" s="254"/>
      <c r="B314" s="313" t="s">
        <v>430</v>
      </c>
      <c r="C314" s="314"/>
      <c r="D314" s="340"/>
      <c r="E314" s="316"/>
      <c r="F314" s="340"/>
      <c r="G314" s="315">
        <f t="shared" si="125"/>
        <v>0</v>
      </c>
      <c r="H314" s="251">
        <f t="shared" si="122"/>
        <v>0</v>
      </c>
      <c r="I314" s="251">
        <f t="shared" si="123"/>
        <v>0</v>
      </c>
    </row>
    <row r="315" spans="1:10" ht="89.25" x14ac:dyDescent="0.25">
      <c r="A315" s="254"/>
      <c r="B315" s="1140" t="s">
        <v>1363</v>
      </c>
      <c r="C315" s="1141" t="s">
        <v>1362</v>
      </c>
      <c r="D315" s="279">
        <f>167992816.22</f>
        <v>167992816.22</v>
      </c>
      <c r="E315" s="275">
        <f>'Проверочная  таблица'!SL38</f>
        <v>167992816.22000003</v>
      </c>
      <c r="F315" s="275">
        <f>'Проверочная  таблица'!SP38</f>
        <v>85104769.290000007</v>
      </c>
      <c r="G315" s="259">
        <f t="shared" si="125"/>
        <v>0</v>
      </c>
      <c r="H315" s="251">
        <f t="shared" si="122"/>
        <v>0</v>
      </c>
      <c r="I315" s="251">
        <f t="shared" si="123"/>
        <v>0</v>
      </c>
      <c r="J315" s="317">
        <f>D315+D318</f>
        <v>646126216.22000003</v>
      </c>
    </row>
    <row r="316" spans="1:10" x14ac:dyDescent="0.25">
      <c r="A316" s="312"/>
      <c r="B316" s="313" t="s">
        <v>429</v>
      </c>
      <c r="C316" s="314"/>
      <c r="D316" s="315">
        <f>D315</f>
        <v>167992816.22</v>
      </c>
      <c r="E316" s="315">
        <f>E315</f>
        <v>167992816.22000003</v>
      </c>
      <c r="F316" s="315">
        <f>F315</f>
        <v>85104769.290000007</v>
      </c>
      <c r="G316" s="315">
        <f t="shared" si="125"/>
        <v>0</v>
      </c>
      <c r="H316" s="251">
        <f t="shared" si="122"/>
        <v>0</v>
      </c>
      <c r="I316" s="251">
        <f t="shared" si="123"/>
        <v>0</v>
      </c>
    </row>
    <row r="317" spans="1:10" x14ac:dyDescent="0.25">
      <c r="A317" s="312"/>
      <c r="B317" s="313" t="s">
        <v>430</v>
      </c>
      <c r="C317" s="314"/>
      <c r="D317" s="315"/>
      <c r="E317" s="315"/>
      <c r="F317" s="315"/>
      <c r="G317" s="315">
        <f t="shared" si="125"/>
        <v>0</v>
      </c>
      <c r="H317" s="251">
        <f t="shared" si="122"/>
        <v>0</v>
      </c>
      <c r="I317" s="251">
        <f t="shared" si="123"/>
        <v>0</v>
      </c>
    </row>
    <row r="318" spans="1:10" x14ac:dyDescent="0.25">
      <c r="A318" s="282"/>
      <c r="B318" s="266" t="s">
        <v>398</v>
      </c>
      <c r="C318" s="283" t="s">
        <v>1362</v>
      </c>
      <c r="D318" s="318">
        <f>478133400</f>
        <v>478133400</v>
      </c>
      <c r="E318" s="269">
        <f>'Проверочная  таблица'!SM38</f>
        <v>478133400</v>
      </c>
      <c r="F318" s="269">
        <f>'Проверочная  таблица'!SQ38</f>
        <v>242221266.41</v>
      </c>
      <c r="G318" s="270">
        <f t="shared" si="125"/>
        <v>0</v>
      </c>
      <c r="H318" s="251">
        <f t="shared" si="122"/>
        <v>0</v>
      </c>
      <c r="I318" s="251">
        <f t="shared" si="123"/>
        <v>0</v>
      </c>
    </row>
    <row r="319" spans="1:10" x14ac:dyDescent="0.25">
      <c r="A319" s="282"/>
      <c r="B319" s="319" t="s">
        <v>429</v>
      </c>
      <c r="C319" s="320"/>
      <c r="D319" s="270">
        <f>D318</f>
        <v>478133400</v>
      </c>
      <c r="E319" s="270">
        <f>E318</f>
        <v>478133400</v>
      </c>
      <c r="F319" s="270">
        <f>F318</f>
        <v>242221266.41</v>
      </c>
      <c r="G319" s="270">
        <f t="shared" si="125"/>
        <v>0</v>
      </c>
      <c r="H319" s="251">
        <f t="shared" si="122"/>
        <v>0</v>
      </c>
      <c r="I319" s="251">
        <f t="shared" si="123"/>
        <v>0</v>
      </c>
    </row>
    <row r="320" spans="1:10" x14ac:dyDescent="0.25">
      <c r="A320" s="282"/>
      <c r="B320" s="319" t="s">
        <v>430</v>
      </c>
      <c r="C320" s="320"/>
      <c r="D320" s="270"/>
      <c r="E320" s="270"/>
      <c r="F320" s="270"/>
      <c r="G320" s="270">
        <f t="shared" si="125"/>
        <v>0</v>
      </c>
      <c r="H320" s="251">
        <f t="shared" si="122"/>
        <v>0</v>
      </c>
      <c r="I320" s="251">
        <f t="shared" si="123"/>
        <v>0</v>
      </c>
    </row>
    <row r="321" spans="1:10" ht="89.25" x14ac:dyDescent="0.25">
      <c r="A321" s="1138"/>
      <c r="B321" s="1140" t="s">
        <v>1365</v>
      </c>
      <c r="C321" s="1141" t="s">
        <v>1364</v>
      </c>
      <c r="D321" s="279">
        <v>30.65</v>
      </c>
      <c r="E321" s="275"/>
      <c r="F321" s="275"/>
      <c r="G321" s="259">
        <f t="shared" ref="G321:G326" si="129">D321-E321</f>
        <v>30.65</v>
      </c>
      <c r="H321" s="251">
        <f t="shared" ref="H321:H326" si="130">IF(F321&gt;E321,1,0)</f>
        <v>0</v>
      </c>
      <c r="I321" s="251">
        <f t="shared" ref="I321:I326" si="131">IF(G321&lt;0,1,0)</f>
        <v>0</v>
      </c>
      <c r="J321" s="317">
        <f>D321+D324</f>
        <v>109.49000000000001</v>
      </c>
    </row>
    <row r="322" spans="1:10" x14ac:dyDescent="0.25">
      <c r="A322" s="312"/>
      <c r="B322" s="313" t="s">
        <v>429</v>
      </c>
      <c r="C322" s="314"/>
      <c r="D322" s="315">
        <f>D321</f>
        <v>30.65</v>
      </c>
      <c r="E322" s="315">
        <f>E321</f>
        <v>0</v>
      </c>
      <c r="F322" s="315">
        <f>F321</f>
        <v>0</v>
      </c>
      <c r="G322" s="315">
        <f t="shared" si="129"/>
        <v>30.65</v>
      </c>
      <c r="H322" s="251">
        <f t="shared" si="130"/>
        <v>0</v>
      </c>
      <c r="I322" s="251">
        <f t="shared" si="131"/>
        <v>0</v>
      </c>
    </row>
    <row r="323" spans="1:10" x14ac:dyDescent="0.25">
      <c r="A323" s="312"/>
      <c r="B323" s="313" t="s">
        <v>430</v>
      </c>
      <c r="C323" s="314"/>
      <c r="D323" s="315"/>
      <c r="E323" s="315"/>
      <c r="F323" s="315"/>
      <c r="G323" s="315">
        <f t="shared" si="129"/>
        <v>0</v>
      </c>
      <c r="H323" s="251">
        <f t="shared" si="130"/>
        <v>0</v>
      </c>
      <c r="I323" s="251">
        <f t="shared" si="131"/>
        <v>0</v>
      </c>
    </row>
    <row r="324" spans="1:10" x14ac:dyDescent="0.25">
      <c r="A324" s="282"/>
      <c r="B324" s="266" t="s">
        <v>398</v>
      </c>
      <c r="C324" s="283" t="s">
        <v>1364</v>
      </c>
      <c r="D324" s="318">
        <v>78.84</v>
      </c>
      <c r="E324" s="269"/>
      <c r="F324" s="269"/>
      <c r="G324" s="270">
        <f t="shared" si="129"/>
        <v>78.84</v>
      </c>
      <c r="H324" s="251">
        <f t="shared" si="130"/>
        <v>0</v>
      </c>
      <c r="I324" s="251">
        <f t="shared" si="131"/>
        <v>0</v>
      </c>
    </row>
    <row r="325" spans="1:10" x14ac:dyDescent="0.25">
      <c r="A325" s="282"/>
      <c r="B325" s="319" t="s">
        <v>429</v>
      </c>
      <c r="C325" s="320"/>
      <c r="D325" s="270">
        <f>D324</f>
        <v>78.84</v>
      </c>
      <c r="E325" s="270">
        <f>E324</f>
        <v>0</v>
      </c>
      <c r="F325" s="270">
        <f>F324</f>
        <v>0</v>
      </c>
      <c r="G325" s="270">
        <f t="shared" si="129"/>
        <v>78.84</v>
      </c>
      <c r="H325" s="251">
        <f t="shared" si="130"/>
        <v>0</v>
      </c>
      <c r="I325" s="251">
        <f t="shared" si="131"/>
        <v>0</v>
      </c>
    </row>
    <row r="326" spans="1:10" x14ac:dyDescent="0.25">
      <c r="A326" s="282"/>
      <c r="B326" s="319" t="s">
        <v>430</v>
      </c>
      <c r="C326" s="320"/>
      <c r="D326" s="270"/>
      <c r="E326" s="270"/>
      <c r="F326" s="270"/>
      <c r="G326" s="270">
        <f t="shared" si="129"/>
        <v>0</v>
      </c>
      <c r="H326" s="251">
        <f t="shared" si="130"/>
        <v>0</v>
      </c>
      <c r="I326" s="251">
        <f t="shared" si="131"/>
        <v>0</v>
      </c>
    </row>
    <row r="327" spans="1:10" ht="89.25" x14ac:dyDescent="0.25">
      <c r="A327" s="254"/>
      <c r="B327" s="255" t="s">
        <v>554</v>
      </c>
      <c r="C327" s="256" t="s">
        <v>555</v>
      </c>
      <c r="D327" s="279">
        <v>211846070.68000001</v>
      </c>
      <c r="E327" s="275">
        <f>'Проверочная  таблица'!SK38</f>
        <v>211846070.68000001</v>
      </c>
      <c r="F327" s="275">
        <f>'Проверочная  таблица'!SO38</f>
        <v>33305116.539999999</v>
      </c>
      <c r="G327" s="259">
        <f t="shared" si="125"/>
        <v>0</v>
      </c>
      <c r="H327" s="251">
        <f t="shared" si="122"/>
        <v>0</v>
      </c>
      <c r="I327" s="251">
        <f t="shared" si="123"/>
        <v>0</v>
      </c>
    </row>
    <row r="328" spans="1:10" x14ac:dyDescent="0.25">
      <c r="A328" s="312"/>
      <c r="B328" s="313" t="s">
        <v>429</v>
      </c>
      <c r="C328" s="314"/>
      <c r="D328" s="315">
        <f>D327</f>
        <v>211846070.68000001</v>
      </c>
      <c r="E328" s="315">
        <f>E327</f>
        <v>211846070.68000001</v>
      </c>
      <c r="F328" s="315">
        <f>F327</f>
        <v>33305116.539999999</v>
      </c>
      <c r="G328" s="315">
        <f t="shared" si="125"/>
        <v>0</v>
      </c>
      <c r="H328" s="251">
        <f t="shared" si="122"/>
        <v>0</v>
      </c>
      <c r="I328" s="251">
        <f t="shared" si="123"/>
        <v>0</v>
      </c>
    </row>
    <row r="329" spans="1:10" x14ac:dyDescent="0.25">
      <c r="A329" s="312"/>
      <c r="B329" s="313" t="s">
        <v>430</v>
      </c>
      <c r="C329" s="314"/>
      <c r="D329" s="315">
        <f>D327-D328</f>
        <v>0</v>
      </c>
      <c r="E329" s="315">
        <f>E327-E328</f>
        <v>0</v>
      </c>
      <c r="F329" s="315">
        <f>F327-F328</f>
        <v>0</v>
      </c>
      <c r="G329" s="315">
        <f t="shared" si="125"/>
        <v>0</v>
      </c>
      <c r="H329" s="251">
        <f t="shared" si="122"/>
        <v>0</v>
      </c>
      <c r="I329" s="251">
        <f t="shared" si="123"/>
        <v>0</v>
      </c>
    </row>
    <row r="330" spans="1:10" ht="127.5" x14ac:dyDescent="0.25">
      <c r="A330" s="254"/>
      <c r="B330" s="255" t="s">
        <v>556</v>
      </c>
      <c r="C330" s="256" t="s">
        <v>557</v>
      </c>
      <c r="D330" s="279">
        <f>26845200</f>
        <v>26845200</v>
      </c>
      <c r="E330" s="275">
        <f>'Прочая  субсидия_МР  и  ГО'!N33</f>
        <v>26845200</v>
      </c>
      <c r="F330" s="275">
        <f>'Прочая  субсидия_МР  и  ГО'!O33</f>
        <v>0</v>
      </c>
      <c r="G330" s="259">
        <f t="shared" si="125"/>
        <v>0</v>
      </c>
      <c r="H330" s="251">
        <f t="shared" si="110"/>
        <v>0</v>
      </c>
      <c r="I330" s="251">
        <f t="shared" si="102"/>
        <v>0</v>
      </c>
    </row>
    <row r="331" spans="1:10" x14ac:dyDescent="0.25">
      <c r="A331" s="312"/>
      <c r="B331" s="313" t="s">
        <v>429</v>
      </c>
      <c r="C331" s="314"/>
      <c r="D331" s="315">
        <f>D330</f>
        <v>26845200</v>
      </c>
      <c r="E331" s="315">
        <f>E330</f>
        <v>26845200</v>
      </c>
      <c r="F331" s="315">
        <f>F330</f>
        <v>0</v>
      </c>
      <c r="G331" s="315">
        <f t="shared" si="125"/>
        <v>0</v>
      </c>
      <c r="H331" s="251">
        <f t="shared" si="110"/>
        <v>0</v>
      </c>
      <c r="I331" s="251">
        <f t="shared" si="102"/>
        <v>0</v>
      </c>
    </row>
    <row r="332" spans="1:10" x14ac:dyDescent="0.25">
      <c r="A332" s="312"/>
      <c r="B332" s="313" t="s">
        <v>430</v>
      </c>
      <c r="C332" s="314"/>
      <c r="D332" s="315">
        <f>D330-D331</f>
        <v>0</v>
      </c>
      <c r="E332" s="315">
        <f>E330-E331</f>
        <v>0</v>
      </c>
      <c r="F332" s="315">
        <f>F330-F331</f>
        <v>0</v>
      </c>
      <c r="G332" s="315">
        <f t="shared" si="125"/>
        <v>0</v>
      </c>
      <c r="H332" s="251">
        <f t="shared" si="110"/>
        <v>0</v>
      </c>
      <c r="I332" s="251">
        <f t="shared" si="102"/>
        <v>0</v>
      </c>
    </row>
    <row r="333" spans="1:10" ht="140.25" hidden="1" x14ac:dyDescent="0.25">
      <c r="A333" s="310"/>
      <c r="B333" s="280" t="s">
        <v>431</v>
      </c>
      <c r="C333" s="256" t="s">
        <v>432</v>
      </c>
      <c r="D333" s="279"/>
      <c r="E333" s="281">
        <f>D333</f>
        <v>0</v>
      </c>
      <c r="F333" s="311"/>
      <c r="G333" s="259">
        <f>D333-E333</f>
        <v>0</v>
      </c>
      <c r="H333" s="251">
        <f t="shared" si="110"/>
        <v>0</v>
      </c>
      <c r="I333" s="251">
        <f t="shared" si="102"/>
        <v>0</v>
      </c>
    </row>
    <row r="334" spans="1:10" hidden="1" x14ac:dyDescent="0.25">
      <c r="A334" s="312"/>
      <c r="B334" s="313" t="s">
        <v>429</v>
      </c>
      <c r="C334" s="314"/>
      <c r="D334" s="315">
        <f>D333-D335</f>
        <v>0</v>
      </c>
      <c r="E334" s="315">
        <f>E333-E335</f>
        <v>0</v>
      </c>
      <c r="F334" s="315">
        <f>F333-F335</f>
        <v>0</v>
      </c>
      <c r="G334" s="315">
        <f>G333-G335</f>
        <v>0</v>
      </c>
      <c r="H334" s="251">
        <f t="shared" si="110"/>
        <v>0</v>
      </c>
      <c r="I334" s="251">
        <f t="shared" si="102"/>
        <v>0</v>
      </c>
    </row>
    <row r="335" spans="1:10" hidden="1" x14ac:dyDescent="0.25">
      <c r="A335" s="312"/>
      <c r="B335" s="313" t="s">
        <v>430</v>
      </c>
      <c r="C335" s="314"/>
      <c r="D335" s="340"/>
      <c r="E335" s="316">
        <f>D335</f>
        <v>0</v>
      </c>
      <c r="F335" s="334"/>
      <c r="G335" s="315">
        <f>D335-E335</f>
        <v>0</v>
      </c>
      <c r="H335" s="251">
        <f t="shared" si="110"/>
        <v>0</v>
      </c>
      <c r="I335" s="251">
        <f t="shared" si="102"/>
        <v>0</v>
      </c>
      <c r="J335" s="302" t="s">
        <v>367</v>
      </c>
    </row>
    <row r="336" spans="1:10" x14ac:dyDescent="0.25">
      <c r="A336" s="254"/>
      <c r="B336" s="280"/>
      <c r="C336" s="278"/>
      <c r="D336" s="279"/>
      <c r="E336" s="275"/>
      <c r="F336" s="275"/>
      <c r="G336" s="259"/>
      <c r="H336" s="251">
        <f t="shared" si="110"/>
        <v>0</v>
      </c>
      <c r="I336" s="251">
        <f t="shared" si="102"/>
        <v>0</v>
      </c>
    </row>
    <row r="337" spans="1:10" x14ac:dyDescent="0.25">
      <c r="A337" s="247" t="s">
        <v>558</v>
      </c>
      <c r="B337" s="248" t="s">
        <v>559</v>
      </c>
      <c r="C337" s="276"/>
      <c r="D337" s="277">
        <f t="shared" ref="D337:G339" si="132">D345+D351+D348+D355+D342+D365+D359+D362</f>
        <v>6429189.1899999995</v>
      </c>
      <c r="E337" s="277">
        <f t="shared" si="132"/>
        <v>6429189.1900000004</v>
      </c>
      <c r="F337" s="277">
        <f t="shared" si="132"/>
        <v>655131.90999999992</v>
      </c>
      <c r="G337" s="277">
        <f t="shared" si="132"/>
        <v>0</v>
      </c>
      <c r="H337" s="251">
        <f t="shared" ref="H337:H367" si="133">IF(F337&gt;E337,1,0)</f>
        <v>0</v>
      </c>
      <c r="I337" s="251">
        <f t="shared" si="102"/>
        <v>0</v>
      </c>
    </row>
    <row r="338" spans="1:10" x14ac:dyDescent="0.25">
      <c r="A338" s="306"/>
      <c r="B338" s="307" t="s">
        <v>429</v>
      </c>
      <c r="C338" s="308"/>
      <c r="D338" s="321">
        <f t="shared" si="132"/>
        <v>0</v>
      </c>
      <c r="E338" s="321">
        <f t="shared" si="132"/>
        <v>0</v>
      </c>
      <c r="F338" s="321">
        <f t="shared" si="132"/>
        <v>0</v>
      </c>
      <c r="G338" s="321">
        <f t="shared" si="132"/>
        <v>0</v>
      </c>
      <c r="H338" s="251">
        <f t="shared" si="133"/>
        <v>0</v>
      </c>
      <c r="I338" s="251">
        <f t="shared" si="102"/>
        <v>0</v>
      </c>
    </row>
    <row r="339" spans="1:10" x14ac:dyDescent="0.25">
      <c r="A339" s="306"/>
      <c r="B339" s="307" t="s">
        <v>430</v>
      </c>
      <c r="C339" s="308"/>
      <c r="D339" s="321">
        <f t="shared" si="132"/>
        <v>0</v>
      </c>
      <c r="E339" s="321">
        <f t="shared" si="132"/>
        <v>0</v>
      </c>
      <c r="F339" s="321">
        <f t="shared" si="132"/>
        <v>0</v>
      </c>
      <c r="G339" s="321">
        <f t="shared" si="132"/>
        <v>0</v>
      </c>
      <c r="H339" s="251">
        <f t="shared" si="133"/>
        <v>0</v>
      </c>
      <c r="I339" s="251">
        <f t="shared" si="102"/>
        <v>0</v>
      </c>
    </row>
    <row r="340" spans="1:10" x14ac:dyDescent="0.25">
      <c r="A340" s="306"/>
      <c r="B340" s="307" t="s">
        <v>447</v>
      </c>
      <c r="C340" s="308"/>
      <c r="D340" s="321">
        <f>D337-D338-D339</f>
        <v>6429189.1899999995</v>
      </c>
      <c r="E340" s="321">
        <f t="shared" ref="E340:G340" si="134">E337-E338-E339</f>
        <v>6429189.1900000004</v>
      </c>
      <c r="F340" s="321">
        <f t="shared" si="134"/>
        <v>655131.90999999992</v>
      </c>
      <c r="G340" s="321">
        <f t="shared" si="134"/>
        <v>0</v>
      </c>
      <c r="H340" s="251">
        <f t="shared" si="133"/>
        <v>0</v>
      </c>
      <c r="I340" s="251">
        <f t="shared" si="102"/>
        <v>0</v>
      </c>
    </row>
    <row r="341" spans="1:10" x14ac:dyDescent="0.25">
      <c r="A341" s="254"/>
      <c r="B341" s="240" t="s">
        <v>376</v>
      </c>
      <c r="C341" s="278"/>
      <c r="D341" s="279"/>
      <c r="E341" s="275"/>
      <c r="F341" s="275"/>
      <c r="G341" s="259"/>
      <c r="H341" s="251">
        <f t="shared" si="133"/>
        <v>0</v>
      </c>
      <c r="I341" s="251">
        <f t="shared" si="102"/>
        <v>0</v>
      </c>
    </row>
    <row r="342" spans="1:10" ht="153" hidden="1" x14ac:dyDescent="0.25">
      <c r="A342" s="310"/>
      <c r="B342" s="255" t="s">
        <v>560</v>
      </c>
      <c r="C342" s="256" t="s">
        <v>561</v>
      </c>
      <c r="D342" s="279"/>
      <c r="E342" s="275">
        <f>'Проверочная  таблица'!NG38</f>
        <v>0</v>
      </c>
      <c r="F342" s="275">
        <f>'Проверочная  таблица'!NO38</f>
        <v>0</v>
      </c>
      <c r="G342" s="259">
        <f t="shared" ref="G342:G347" si="135">D342-E342</f>
        <v>0</v>
      </c>
      <c r="H342" s="251">
        <f>IF(F342&gt;E342,1,0)</f>
        <v>0</v>
      </c>
      <c r="I342" s="251">
        <f>IF(G342&lt;0,1,0)</f>
        <v>0</v>
      </c>
    </row>
    <row r="343" spans="1:10" hidden="1" x14ac:dyDescent="0.25">
      <c r="A343" s="312"/>
      <c r="B343" s="313" t="s">
        <v>429</v>
      </c>
      <c r="C343" s="314"/>
      <c r="D343" s="315">
        <f>D342</f>
        <v>0</v>
      </c>
      <c r="E343" s="315">
        <f>E342</f>
        <v>0</v>
      </c>
      <c r="F343" s="315">
        <f>F342</f>
        <v>0</v>
      </c>
      <c r="G343" s="315">
        <f t="shared" si="135"/>
        <v>0</v>
      </c>
      <c r="H343" s="251">
        <f>IF(F343&gt;E343,1,0)</f>
        <v>0</v>
      </c>
      <c r="I343" s="251">
        <f>IF(G343&lt;0,1,0)</f>
        <v>0</v>
      </c>
    </row>
    <row r="344" spans="1:10" hidden="1" x14ac:dyDescent="0.25">
      <c r="A344" s="312"/>
      <c r="B344" s="313" t="s">
        <v>430</v>
      </c>
      <c r="C344" s="314"/>
      <c r="D344" s="315"/>
      <c r="E344" s="315"/>
      <c r="F344" s="315"/>
      <c r="G344" s="315">
        <f t="shared" si="135"/>
        <v>0</v>
      </c>
      <c r="H344" s="251">
        <f>IF(F344&gt;E344,1,0)</f>
        <v>0</v>
      </c>
      <c r="I344" s="251">
        <f>IF(G344&lt;0,1,0)</f>
        <v>0</v>
      </c>
    </row>
    <row r="345" spans="1:10" ht="89.25" hidden="1" x14ac:dyDescent="0.25">
      <c r="A345" s="310"/>
      <c r="B345" s="280" t="s">
        <v>562</v>
      </c>
      <c r="C345" s="256" t="s">
        <v>563</v>
      </c>
      <c r="D345" s="279"/>
      <c r="E345" s="281">
        <f>'Проверочная  таблица'!NC38</f>
        <v>0</v>
      </c>
      <c r="F345" s="281">
        <f>'Проверочная  таблица'!NK38</f>
        <v>0</v>
      </c>
      <c r="G345" s="259">
        <f t="shared" si="135"/>
        <v>0</v>
      </c>
      <c r="H345" s="251">
        <f t="shared" ref="H345:H364" si="136">IF(F345&gt;E345,1,0)</f>
        <v>0</v>
      </c>
      <c r="I345" s="251">
        <f t="shared" ref="I345:I347" si="137">IF(G345&lt;0,1,0)</f>
        <v>0</v>
      </c>
      <c r="J345" s="317">
        <f>D345+D348</f>
        <v>0</v>
      </c>
    </row>
    <row r="346" spans="1:10" hidden="1" x14ac:dyDescent="0.25">
      <c r="A346" s="312"/>
      <c r="B346" s="313" t="s">
        <v>429</v>
      </c>
      <c r="C346" s="314"/>
      <c r="D346" s="315">
        <f>D345-D347</f>
        <v>0</v>
      </c>
      <c r="E346" s="315">
        <f t="shared" ref="E346:F346" si="138">E345-E347</f>
        <v>0</v>
      </c>
      <c r="F346" s="315">
        <f t="shared" si="138"/>
        <v>0</v>
      </c>
      <c r="G346" s="315">
        <f t="shared" si="135"/>
        <v>0</v>
      </c>
      <c r="H346" s="251">
        <f t="shared" si="136"/>
        <v>0</v>
      </c>
      <c r="I346" s="251">
        <f t="shared" si="137"/>
        <v>0</v>
      </c>
    </row>
    <row r="347" spans="1:10" hidden="1" x14ac:dyDescent="0.25">
      <c r="A347" s="312"/>
      <c r="B347" s="313" t="s">
        <v>430</v>
      </c>
      <c r="C347" s="314"/>
      <c r="D347" s="340"/>
      <c r="E347" s="316"/>
      <c r="F347" s="340"/>
      <c r="G347" s="315">
        <f t="shared" si="135"/>
        <v>0</v>
      </c>
      <c r="H347" s="251">
        <f t="shared" si="136"/>
        <v>0</v>
      </c>
      <c r="I347" s="251">
        <f t="shared" si="137"/>
        <v>0</v>
      </c>
    </row>
    <row r="348" spans="1:10" hidden="1" x14ac:dyDescent="0.25">
      <c r="A348" s="282"/>
      <c r="B348" s="266" t="s">
        <v>398</v>
      </c>
      <c r="C348" s="283" t="s">
        <v>563</v>
      </c>
      <c r="D348" s="284"/>
      <c r="E348" s="269">
        <f>'Проверочная  таблица'!ND38</f>
        <v>0</v>
      </c>
      <c r="F348" s="269">
        <f>'Проверочная  таблица'!NL38</f>
        <v>0</v>
      </c>
      <c r="G348" s="270">
        <f>D348-E348</f>
        <v>0</v>
      </c>
      <c r="H348" s="251">
        <f t="shared" si="136"/>
        <v>0</v>
      </c>
      <c r="I348" s="251">
        <f>IF(G348&lt;0,1,0)</f>
        <v>0</v>
      </c>
    </row>
    <row r="349" spans="1:10" hidden="1" x14ac:dyDescent="0.25">
      <c r="A349" s="282"/>
      <c r="B349" s="319" t="s">
        <v>429</v>
      </c>
      <c r="C349" s="320"/>
      <c r="D349" s="270">
        <f>D348-D350</f>
        <v>0</v>
      </c>
      <c r="E349" s="270">
        <f t="shared" ref="E349:F349" si="139">E348-E350</f>
        <v>0</v>
      </c>
      <c r="F349" s="270">
        <f t="shared" si="139"/>
        <v>0</v>
      </c>
      <c r="G349" s="270">
        <f t="shared" ref="G349:G354" si="140">D349-E349</f>
        <v>0</v>
      </c>
      <c r="H349" s="271">
        <f t="shared" si="136"/>
        <v>0</v>
      </c>
      <c r="I349" s="251">
        <f t="shared" ref="I349:I354" si="141">IF(G349&lt;0,1,0)</f>
        <v>0</v>
      </c>
    </row>
    <row r="350" spans="1:10" hidden="1" x14ac:dyDescent="0.25">
      <c r="A350" s="282"/>
      <c r="B350" s="319" t="s">
        <v>430</v>
      </c>
      <c r="C350" s="320"/>
      <c r="D350" s="354"/>
      <c r="E350" s="269"/>
      <c r="F350" s="354"/>
      <c r="G350" s="270">
        <f t="shared" si="140"/>
        <v>0</v>
      </c>
      <c r="H350" s="271">
        <f t="shared" si="136"/>
        <v>0</v>
      </c>
      <c r="I350" s="251">
        <f t="shared" si="141"/>
        <v>0</v>
      </c>
    </row>
    <row r="351" spans="1:10" ht="114.75" x14ac:dyDescent="0.25">
      <c r="A351" s="254"/>
      <c r="B351" s="280" t="s">
        <v>564</v>
      </c>
      <c r="C351" s="256" t="s">
        <v>565</v>
      </c>
      <c r="D351" s="279">
        <v>1671589.19</v>
      </c>
      <c r="E351" s="281">
        <f>'Проверочная  таблица'!NE38</f>
        <v>1671589.1900000004</v>
      </c>
      <c r="F351" s="281">
        <f>'Проверочная  таблица'!NM38</f>
        <v>170334.3</v>
      </c>
      <c r="G351" s="259">
        <f t="shared" si="140"/>
        <v>0</v>
      </c>
      <c r="H351" s="251">
        <f t="shared" si="136"/>
        <v>0</v>
      </c>
      <c r="I351" s="251">
        <f t="shared" si="141"/>
        <v>0</v>
      </c>
      <c r="J351" s="317">
        <f>D351+D355</f>
        <v>6429189.1899999995</v>
      </c>
    </row>
    <row r="352" spans="1:10" x14ac:dyDescent="0.25">
      <c r="A352" s="312"/>
      <c r="B352" s="313" t="s">
        <v>429</v>
      </c>
      <c r="C352" s="314"/>
      <c r="D352" s="315"/>
      <c r="E352" s="315"/>
      <c r="F352" s="315"/>
      <c r="G352" s="315">
        <f t="shared" si="140"/>
        <v>0</v>
      </c>
      <c r="H352" s="251">
        <f t="shared" si="136"/>
        <v>0</v>
      </c>
      <c r="I352" s="251">
        <f t="shared" si="141"/>
        <v>0</v>
      </c>
    </row>
    <row r="353" spans="1:10" x14ac:dyDescent="0.25">
      <c r="A353" s="312"/>
      <c r="B353" s="313" t="s">
        <v>430</v>
      </c>
      <c r="C353" s="314"/>
      <c r="D353" s="340"/>
      <c r="E353" s="316"/>
      <c r="F353" s="340"/>
      <c r="G353" s="315">
        <f t="shared" si="140"/>
        <v>0</v>
      </c>
      <c r="H353" s="251">
        <f t="shared" si="136"/>
        <v>0</v>
      </c>
      <c r="I353" s="251">
        <f t="shared" si="141"/>
        <v>0</v>
      </c>
    </row>
    <row r="354" spans="1:10" x14ac:dyDescent="0.25">
      <c r="A354" s="312"/>
      <c r="B354" s="313" t="s">
        <v>447</v>
      </c>
      <c r="C354" s="314"/>
      <c r="D354" s="316">
        <f>D351</f>
        <v>1671589.19</v>
      </c>
      <c r="E354" s="316">
        <f t="shared" ref="E354:F354" si="142">E351</f>
        <v>1671589.1900000004</v>
      </c>
      <c r="F354" s="316">
        <f t="shared" si="142"/>
        <v>170334.3</v>
      </c>
      <c r="G354" s="315">
        <f t="shared" si="140"/>
        <v>0</v>
      </c>
      <c r="H354" s="251">
        <f t="shared" si="136"/>
        <v>0</v>
      </c>
      <c r="I354" s="251">
        <f t="shared" si="141"/>
        <v>0</v>
      </c>
    </row>
    <row r="355" spans="1:10" x14ac:dyDescent="0.25">
      <c r="A355" s="282"/>
      <c r="B355" s="266" t="s">
        <v>398</v>
      </c>
      <c r="C355" s="283" t="s">
        <v>565</v>
      </c>
      <c r="D355" s="284">
        <v>4757600</v>
      </c>
      <c r="E355" s="269">
        <f>'Проверочная  таблица'!NF38</f>
        <v>4757600</v>
      </c>
      <c r="F355" s="269">
        <f>'Проверочная  таблица'!NN38</f>
        <v>484797.61</v>
      </c>
      <c r="G355" s="270">
        <f>D355-E355</f>
        <v>0</v>
      </c>
      <c r="H355" s="251">
        <f t="shared" si="136"/>
        <v>0</v>
      </c>
      <c r="I355" s="251">
        <f>IF(G355&lt;0,1,0)</f>
        <v>0</v>
      </c>
    </row>
    <row r="356" spans="1:10" x14ac:dyDescent="0.25">
      <c r="A356" s="282"/>
      <c r="B356" s="319" t="s">
        <v>429</v>
      </c>
      <c r="C356" s="320"/>
      <c r="D356" s="270"/>
      <c r="E356" s="270"/>
      <c r="F356" s="270"/>
      <c r="G356" s="270">
        <f t="shared" ref="G356:G361" si="143">D356-E356</f>
        <v>0</v>
      </c>
      <c r="H356" s="251">
        <f t="shared" si="136"/>
        <v>0</v>
      </c>
      <c r="I356" s="251">
        <f t="shared" ref="I356:I361" si="144">IF(G356&lt;0,1,0)</f>
        <v>0</v>
      </c>
    </row>
    <row r="357" spans="1:10" x14ac:dyDescent="0.25">
      <c r="A357" s="282"/>
      <c r="B357" s="319" t="s">
        <v>430</v>
      </c>
      <c r="C357" s="320"/>
      <c r="D357" s="354"/>
      <c r="E357" s="269"/>
      <c r="F357" s="354"/>
      <c r="G357" s="270">
        <f t="shared" si="143"/>
        <v>0</v>
      </c>
      <c r="H357" s="251">
        <f t="shared" si="136"/>
        <v>0</v>
      </c>
      <c r="I357" s="251">
        <f t="shared" si="144"/>
        <v>0</v>
      </c>
    </row>
    <row r="358" spans="1:10" x14ac:dyDescent="0.25">
      <c r="A358" s="282"/>
      <c r="B358" s="319" t="s">
        <v>447</v>
      </c>
      <c r="C358" s="320"/>
      <c r="D358" s="269">
        <f>D355</f>
        <v>4757600</v>
      </c>
      <c r="E358" s="269">
        <f t="shared" ref="E358:F358" si="145">E355</f>
        <v>4757600</v>
      </c>
      <c r="F358" s="269">
        <f t="shared" si="145"/>
        <v>484797.61</v>
      </c>
      <c r="G358" s="270">
        <f t="shared" si="143"/>
        <v>0</v>
      </c>
      <c r="H358" s="251">
        <f t="shared" si="136"/>
        <v>0</v>
      </c>
      <c r="I358" s="251">
        <f t="shared" si="144"/>
        <v>0</v>
      </c>
    </row>
    <row r="359" spans="1:10" ht="114.75" hidden="1" x14ac:dyDescent="0.25">
      <c r="A359" s="310"/>
      <c r="B359" s="280" t="s">
        <v>566</v>
      </c>
      <c r="C359" s="256" t="s">
        <v>567</v>
      </c>
      <c r="D359" s="279"/>
      <c r="E359" s="281">
        <f>'Проверочная  таблица'!GA38</f>
        <v>0</v>
      </c>
      <c r="F359" s="281">
        <f>'Проверочная  таблица'!GD38</f>
        <v>0</v>
      </c>
      <c r="G359" s="259">
        <f t="shared" si="143"/>
        <v>0</v>
      </c>
      <c r="H359" s="251">
        <f t="shared" si="136"/>
        <v>0</v>
      </c>
      <c r="I359" s="251">
        <f t="shared" si="144"/>
        <v>0</v>
      </c>
      <c r="J359" s="317">
        <f>D359+D362</f>
        <v>0</v>
      </c>
    </row>
    <row r="360" spans="1:10" hidden="1" x14ac:dyDescent="0.25">
      <c r="A360" s="312"/>
      <c r="B360" s="313" t="s">
        <v>429</v>
      </c>
      <c r="C360" s="314"/>
      <c r="D360" s="315">
        <f>D359</f>
        <v>0</v>
      </c>
      <c r="E360" s="315">
        <f t="shared" ref="E360:F360" si="146">E359</f>
        <v>0</v>
      </c>
      <c r="F360" s="315">
        <f t="shared" si="146"/>
        <v>0</v>
      </c>
      <c r="G360" s="315">
        <f t="shared" si="143"/>
        <v>0</v>
      </c>
      <c r="H360" s="251">
        <f t="shared" si="136"/>
        <v>0</v>
      </c>
      <c r="I360" s="251">
        <f t="shared" si="144"/>
        <v>0</v>
      </c>
    </row>
    <row r="361" spans="1:10" hidden="1" x14ac:dyDescent="0.25">
      <c r="A361" s="312"/>
      <c r="B361" s="313" t="s">
        <v>430</v>
      </c>
      <c r="C361" s="314"/>
      <c r="D361" s="340"/>
      <c r="E361" s="316"/>
      <c r="F361" s="340"/>
      <c r="G361" s="315">
        <f t="shared" si="143"/>
        <v>0</v>
      </c>
      <c r="H361" s="251">
        <f t="shared" si="136"/>
        <v>0</v>
      </c>
      <c r="I361" s="251">
        <f t="shared" si="144"/>
        <v>0</v>
      </c>
    </row>
    <row r="362" spans="1:10" hidden="1" x14ac:dyDescent="0.25">
      <c r="A362" s="282"/>
      <c r="B362" s="266" t="s">
        <v>398</v>
      </c>
      <c r="C362" s="283" t="s">
        <v>567</v>
      </c>
      <c r="D362" s="284"/>
      <c r="E362" s="269">
        <f>'Проверочная  таблица'!GB38</f>
        <v>0</v>
      </c>
      <c r="F362" s="269">
        <f>'Проверочная  таблица'!GE38</f>
        <v>0</v>
      </c>
      <c r="G362" s="270">
        <f>D362-E362</f>
        <v>0</v>
      </c>
      <c r="H362" s="251">
        <f t="shared" si="136"/>
        <v>0</v>
      </c>
      <c r="I362" s="251">
        <f>IF(G362&lt;0,1,0)</f>
        <v>0</v>
      </c>
    </row>
    <row r="363" spans="1:10" hidden="1" x14ac:dyDescent="0.25">
      <c r="A363" s="282"/>
      <c r="B363" s="319" t="s">
        <v>429</v>
      </c>
      <c r="C363" s="320"/>
      <c r="D363" s="270">
        <f>D362</f>
        <v>0</v>
      </c>
      <c r="E363" s="270">
        <f t="shared" ref="E363:F363" si="147">E362</f>
        <v>0</v>
      </c>
      <c r="F363" s="270">
        <f t="shared" si="147"/>
        <v>0</v>
      </c>
      <c r="G363" s="270">
        <f t="shared" ref="G363:G367" si="148">D363-E363</f>
        <v>0</v>
      </c>
      <c r="H363" s="251">
        <f t="shared" si="136"/>
        <v>0</v>
      </c>
      <c r="I363" s="251">
        <f t="shared" ref="I363:I364" si="149">IF(G363&lt;0,1,0)</f>
        <v>0</v>
      </c>
    </row>
    <row r="364" spans="1:10" hidden="1" x14ac:dyDescent="0.25">
      <c r="A364" s="282"/>
      <c r="B364" s="319" t="s">
        <v>430</v>
      </c>
      <c r="C364" s="320"/>
      <c r="D364" s="354"/>
      <c r="E364" s="269"/>
      <c r="F364" s="354"/>
      <c r="G364" s="270">
        <f t="shared" si="148"/>
        <v>0</v>
      </c>
      <c r="H364" s="251">
        <f t="shared" si="136"/>
        <v>0</v>
      </c>
      <c r="I364" s="251">
        <f t="shared" si="149"/>
        <v>0</v>
      </c>
    </row>
    <row r="365" spans="1:10" ht="140.25" hidden="1" x14ac:dyDescent="0.25">
      <c r="A365" s="310"/>
      <c r="B365" s="280" t="s">
        <v>431</v>
      </c>
      <c r="C365" s="256" t="s">
        <v>432</v>
      </c>
      <c r="D365" s="279"/>
      <c r="E365" s="281">
        <f>D365</f>
        <v>0</v>
      </c>
      <c r="F365" s="311"/>
      <c r="G365" s="259">
        <f t="shared" si="148"/>
        <v>0</v>
      </c>
      <c r="H365" s="251">
        <f t="shared" si="133"/>
        <v>0</v>
      </c>
      <c r="I365" s="251">
        <f t="shared" si="102"/>
        <v>0</v>
      </c>
    </row>
    <row r="366" spans="1:10" hidden="1" x14ac:dyDescent="0.25">
      <c r="A366" s="312"/>
      <c r="B366" s="313" t="s">
        <v>429</v>
      </c>
      <c r="C366" s="314"/>
      <c r="D366" s="315">
        <f>D365-D367</f>
        <v>0</v>
      </c>
      <c r="E366" s="315">
        <f t="shared" ref="E366:F366" si="150">E365-E367</f>
        <v>0</v>
      </c>
      <c r="F366" s="315">
        <f t="shared" si="150"/>
        <v>0</v>
      </c>
      <c r="G366" s="315">
        <f t="shared" si="148"/>
        <v>0</v>
      </c>
      <c r="H366" s="251">
        <f t="shared" si="133"/>
        <v>0</v>
      </c>
      <c r="I366" s="251">
        <f t="shared" si="102"/>
        <v>0</v>
      </c>
    </row>
    <row r="367" spans="1:10" hidden="1" x14ac:dyDescent="0.25">
      <c r="A367" s="312"/>
      <c r="B367" s="313" t="s">
        <v>430</v>
      </c>
      <c r="C367" s="314"/>
      <c r="D367" s="340"/>
      <c r="E367" s="316">
        <f>D367</f>
        <v>0</v>
      </c>
      <c r="F367" s="340"/>
      <c r="G367" s="315">
        <f t="shared" si="148"/>
        <v>0</v>
      </c>
      <c r="H367" s="251">
        <f t="shared" si="133"/>
        <v>0</v>
      </c>
      <c r="I367" s="251">
        <f t="shared" si="102"/>
        <v>0</v>
      </c>
    </row>
    <row r="368" spans="1:10" x14ac:dyDescent="0.25">
      <c r="A368" s="254"/>
      <c r="B368" s="280"/>
      <c r="C368" s="278"/>
      <c r="D368" s="279"/>
      <c r="E368" s="275"/>
      <c r="F368" s="275"/>
      <c r="G368" s="259"/>
      <c r="H368" s="251">
        <f>IF(F368&gt;E368,1,0)</f>
        <v>0</v>
      </c>
      <c r="I368" s="251">
        <f>IF(G368&lt;0,1,0)</f>
        <v>0</v>
      </c>
    </row>
    <row r="369" spans="1:9" x14ac:dyDescent="0.25">
      <c r="A369" s="247" t="s">
        <v>568</v>
      </c>
      <c r="B369" s="248" t="s">
        <v>569</v>
      </c>
      <c r="C369" s="276"/>
      <c r="D369" s="277">
        <f t="shared" ref="D369:G371" si="151">D376+D382+D373+D379</f>
        <v>344007460</v>
      </c>
      <c r="E369" s="277">
        <f t="shared" si="151"/>
        <v>344007460</v>
      </c>
      <c r="F369" s="277">
        <f t="shared" si="151"/>
        <v>103614634.16999997</v>
      </c>
      <c r="G369" s="277">
        <f t="shared" si="151"/>
        <v>0</v>
      </c>
      <c r="H369" s="251">
        <f t="shared" ref="H369:H425" si="152">IF(F369&gt;E369,1,0)</f>
        <v>0</v>
      </c>
      <c r="I369" s="251">
        <f t="shared" si="102"/>
        <v>0</v>
      </c>
    </row>
    <row r="370" spans="1:9" x14ac:dyDescent="0.25">
      <c r="A370" s="306"/>
      <c r="B370" s="307" t="s">
        <v>429</v>
      </c>
      <c r="C370" s="308"/>
      <c r="D370" s="321">
        <f t="shared" si="151"/>
        <v>344007460</v>
      </c>
      <c r="E370" s="321">
        <f t="shared" si="151"/>
        <v>344007460</v>
      </c>
      <c r="F370" s="321">
        <f t="shared" si="151"/>
        <v>103614634.16999997</v>
      </c>
      <c r="G370" s="321">
        <f t="shared" si="151"/>
        <v>0</v>
      </c>
      <c r="H370" s="251">
        <f t="shared" si="152"/>
        <v>0</v>
      </c>
      <c r="I370" s="251">
        <f t="shared" si="102"/>
        <v>0</v>
      </c>
    </row>
    <row r="371" spans="1:9" x14ac:dyDescent="0.25">
      <c r="A371" s="306"/>
      <c r="B371" s="307" t="s">
        <v>430</v>
      </c>
      <c r="C371" s="308"/>
      <c r="D371" s="321">
        <f t="shared" si="151"/>
        <v>0</v>
      </c>
      <c r="E371" s="321">
        <f t="shared" si="151"/>
        <v>0</v>
      </c>
      <c r="F371" s="321">
        <f t="shared" si="151"/>
        <v>0</v>
      </c>
      <c r="G371" s="321">
        <f t="shared" si="151"/>
        <v>0</v>
      </c>
      <c r="H371" s="251">
        <f t="shared" si="152"/>
        <v>0</v>
      </c>
      <c r="I371" s="251">
        <f t="shared" si="102"/>
        <v>0</v>
      </c>
    </row>
    <row r="372" spans="1:9" x14ac:dyDescent="0.25">
      <c r="A372" s="254"/>
      <c r="B372" s="240" t="s">
        <v>376</v>
      </c>
      <c r="C372" s="278"/>
      <c r="D372" s="279"/>
      <c r="E372" s="275"/>
      <c r="F372" s="275"/>
      <c r="G372" s="259"/>
      <c r="H372" s="251">
        <f t="shared" si="152"/>
        <v>0</v>
      </c>
      <c r="I372" s="251">
        <f t="shared" si="102"/>
        <v>0</v>
      </c>
    </row>
    <row r="373" spans="1:9" ht="127.5" x14ac:dyDescent="0.25">
      <c r="A373" s="254"/>
      <c r="B373" s="280" t="s">
        <v>570</v>
      </c>
      <c r="C373" s="256" t="s">
        <v>571</v>
      </c>
      <c r="D373" s="279">
        <v>127183300</v>
      </c>
      <c r="E373" s="281">
        <f>'Прочая  субсидия_МР  и  ГО'!P43</f>
        <v>127183300</v>
      </c>
      <c r="F373" s="281">
        <f>'Прочая  субсидия_МР  и  ГО'!Q43</f>
        <v>627052.15999999992</v>
      </c>
      <c r="G373" s="259">
        <f t="shared" ref="G373:G375" si="153">D373-E373</f>
        <v>0</v>
      </c>
      <c r="H373" s="251">
        <f t="shared" si="152"/>
        <v>0</v>
      </c>
      <c r="I373" s="251">
        <f t="shared" si="102"/>
        <v>0</v>
      </c>
    </row>
    <row r="374" spans="1:9" x14ac:dyDescent="0.25">
      <c r="A374" s="312"/>
      <c r="B374" s="313" t="s">
        <v>429</v>
      </c>
      <c r="C374" s="314"/>
      <c r="D374" s="315">
        <f>D373-D375</f>
        <v>127183300</v>
      </c>
      <c r="E374" s="315">
        <f t="shared" ref="E374:F374" si="154">E373-E375</f>
        <v>127183300</v>
      </c>
      <c r="F374" s="315">
        <f t="shared" si="154"/>
        <v>627052.15999999992</v>
      </c>
      <c r="G374" s="315">
        <f t="shared" si="153"/>
        <v>0</v>
      </c>
      <c r="H374" s="251">
        <f t="shared" si="152"/>
        <v>0</v>
      </c>
      <c r="I374" s="251">
        <f t="shared" si="102"/>
        <v>0</v>
      </c>
    </row>
    <row r="375" spans="1:9" x14ac:dyDescent="0.25">
      <c r="A375" s="312"/>
      <c r="B375" s="313" t="s">
        <v>430</v>
      </c>
      <c r="C375" s="314"/>
      <c r="D375" s="340"/>
      <c r="E375" s="316"/>
      <c r="F375" s="340"/>
      <c r="G375" s="315">
        <f t="shared" si="153"/>
        <v>0</v>
      </c>
      <c r="H375" s="251">
        <f t="shared" si="152"/>
        <v>0</v>
      </c>
      <c r="I375" s="251">
        <f t="shared" si="102"/>
        <v>0</v>
      </c>
    </row>
    <row r="376" spans="1:9" ht="140.25" x14ac:dyDescent="0.25">
      <c r="A376" s="254"/>
      <c r="B376" s="255" t="s">
        <v>572</v>
      </c>
      <c r="C376" s="256" t="s">
        <v>573</v>
      </c>
      <c r="D376" s="279">
        <v>5000000</v>
      </c>
      <c r="E376" s="275">
        <f>'Прочая  субсидия_МР  и  ГО'!R33</f>
        <v>5000000</v>
      </c>
      <c r="F376" s="275">
        <f>'Прочая  субсидия_МР  и  ГО'!S33</f>
        <v>1518589.5699999998</v>
      </c>
      <c r="G376" s="259">
        <f>D376-E376</f>
        <v>0</v>
      </c>
      <c r="H376" s="251">
        <f>IF(F376&gt;E376,1,0)</f>
        <v>0</v>
      </c>
      <c r="I376" s="251">
        <f>IF(G376&lt;0,1,0)</f>
        <v>0</v>
      </c>
    </row>
    <row r="377" spans="1:9" x14ac:dyDescent="0.25">
      <c r="A377" s="312"/>
      <c r="B377" s="313" t="s">
        <v>429</v>
      </c>
      <c r="C377" s="314"/>
      <c r="D377" s="315">
        <f>D376</f>
        <v>5000000</v>
      </c>
      <c r="E377" s="315">
        <f>E376</f>
        <v>5000000</v>
      </c>
      <c r="F377" s="315">
        <f>F376</f>
        <v>1518589.5699999998</v>
      </c>
      <c r="G377" s="315">
        <f>D377-E377</f>
        <v>0</v>
      </c>
      <c r="H377" s="251">
        <f>IF(F377&gt;E377,1,0)</f>
        <v>0</v>
      </c>
      <c r="I377" s="251">
        <f>IF(G377&lt;0,1,0)</f>
        <v>0</v>
      </c>
    </row>
    <row r="378" spans="1:9" x14ac:dyDescent="0.25">
      <c r="A378" s="312"/>
      <c r="B378" s="313" t="s">
        <v>430</v>
      </c>
      <c r="C378" s="314"/>
      <c r="D378" s="315"/>
      <c r="E378" s="315"/>
      <c r="F378" s="315"/>
      <c r="G378" s="315">
        <f>D378-E378</f>
        <v>0</v>
      </c>
      <c r="H378" s="251">
        <f>IF(F378&gt;E378,1,0)</f>
        <v>0</v>
      </c>
      <c r="I378" s="251">
        <f>IF(G378&lt;0,1,0)</f>
        <v>0</v>
      </c>
    </row>
    <row r="379" spans="1:9" ht="140.25" hidden="1" x14ac:dyDescent="0.25">
      <c r="A379" s="310"/>
      <c r="B379" s="280" t="s">
        <v>431</v>
      </c>
      <c r="C379" s="256" t="s">
        <v>432</v>
      </c>
      <c r="D379" s="279"/>
      <c r="E379" s="281">
        <f>D379</f>
        <v>0</v>
      </c>
      <c r="F379" s="311"/>
      <c r="G379" s="259">
        <f t="shared" ref="G379:G381" si="155">D379-E379</f>
        <v>0</v>
      </c>
      <c r="H379" s="251">
        <f t="shared" si="152"/>
        <v>0</v>
      </c>
      <c r="I379" s="251">
        <f t="shared" si="102"/>
        <v>0</v>
      </c>
    </row>
    <row r="380" spans="1:9" hidden="1" x14ac:dyDescent="0.25">
      <c r="A380" s="312"/>
      <c r="B380" s="313" t="s">
        <v>429</v>
      </c>
      <c r="C380" s="314"/>
      <c r="D380" s="315">
        <f>D379</f>
        <v>0</v>
      </c>
      <c r="E380" s="315">
        <f>E379</f>
        <v>0</v>
      </c>
      <c r="F380" s="315">
        <f>F379</f>
        <v>0</v>
      </c>
      <c r="G380" s="315">
        <f t="shared" si="155"/>
        <v>0</v>
      </c>
      <c r="H380" s="251">
        <f t="shared" si="152"/>
        <v>0</v>
      </c>
      <c r="I380" s="251">
        <f t="shared" si="102"/>
        <v>0</v>
      </c>
    </row>
    <row r="381" spans="1:9" hidden="1" x14ac:dyDescent="0.25">
      <c r="A381" s="312"/>
      <c r="B381" s="313" t="s">
        <v>430</v>
      </c>
      <c r="C381" s="314"/>
      <c r="D381" s="315">
        <f>D379-D380</f>
        <v>0</v>
      </c>
      <c r="E381" s="315">
        <f>E379-E380</f>
        <v>0</v>
      </c>
      <c r="F381" s="315">
        <f>F379-F380</f>
        <v>0</v>
      </c>
      <c r="G381" s="315">
        <f t="shared" si="155"/>
        <v>0</v>
      </c>
      <c r="H381" s="251">
        <f t="shared" si="152"/>
        <v>0</v>
      </c>
      <c r="I381" s="251">
        <f t="shared" si="102"/>
        <v>0</v>
      </c>
    </row>
    <row r="382" spans="1:9" ht="153" x14ac:dyDescent="0.25">
      <c r="A382" s="254"/>
      <c r="B382" s="255" t="s">
        <v>574</v>
      </c>
      <c r="C382" s="256" t="s">
        <v>575</v>
      </c>
      <c r="D382" s="279">
        <v>211824160</v>
      </c>
      <c r="E382" s="275">
        <f>'Прочая  субсидия_МР  и  ГО'!AT43</f>
        <v>211824160</v>
      </c>
      <c r="F382" s="275">
        <f>'Прочая  субсидия_МР  и  ГО'!AU43</f>
        <v>101468992.43999998</v>
      </c>
      <c r="G382" s="259">
        <f>D382-E382</f>
        <v>0</v>
      </c>
      <c r="H382" s="251">
        <f>IF(F382&gt;E382,1,0)</f>
        <v>0</v>
      </c>
      <c r="I382" s="251">
        <f>IF(G382&lt;0,1,0)</f>
        <v>0</v>
      </c>
    </row>
    <row r="383" spans="1:9" x14ac:dyDescent="0.25">
      <c r="A383" s="312"/>
      <c r="B383" s="313" t="s">
        <v>429</v>
      </c>
      <c r="C383" s="314"/>
      <c r="D383" s="315">
        <f>D382</f>
        <v>211824160</v>
      </c>
      <c r="E383" s="315">
        <f t="shared" ref="E383:F383" si="156">E382</f>
        <v>211824160</v>
      </c>
      <c r="F383" s="315">
        <f t="shared" si="156"/>
        <v>101468992.43999998</v>
      </c>
      <c r="G383" s="315">
        <f>D383-E383</f>
        <v>0</v>
      </c>
      <c r="H383" s="251">
        <f>IF(F383&gt;E383,1,0)</f>
        <v>0</v>
      </c>
      <c r="I383" s="251">
        <f>IF(G383&lt;0,1,0)</f>
        <v>0</v>
      </c>
    </row>
    <row r="384" spans="1:9" x14ac:dyDescent="0.25">
      <c r="A384" s="312"/>
      <c r="B384" s="313" t="s">
        <v>430</v>
      </c>
      <c r="C384" s="314"/>
      <c r="D384" s="315"/>
      <c r="E384" s="315"/>
      <c r="F384" s="315"/>
      <c r="G384" s="315">
        <f>D384-E384</f>
        <v>0</v>
      </c>
      <c r="H384" s="251">
        <f>IF(F384&gt;E384,1,0)</f>
        <v>0</v>
      </c>
      <c r="I384" s="251">
        <f>IF(G384&lt;0,1,0)</f>
        <v>0</v>
      </c>
    </row>
    <row r="385" spans="1:10" x14ac:dyDescent="0.25">
      <c r="A385" s="254"/>
      <c r="B385" s="280"/>
      <c r="C385" s="278"/>
      <c r="D385" s="279"/>
      <c r="E385" s="275"/>
      <c r="F385" s="275"/>
      <c r="G385" s="259"/>
      <c r="H385" s="251">
        <f t="shared" si="152"/>
        <v>0</v>
      </c>
      <c r="I385" s="251">
        <f t="shared" si="102"/>
        <v>0</v>
      </c>
    </row>
    <row r="386" spans="1:10" x14ac:dyDescent="0.25">
      <c r="A386" s="247" t="s">
        <v>576</v>
      </c>
      <c r="B386" s="248" t="s">
        <v>577</v>
      </c>
      <c r="C386" s="276"/>
      <c r="D386" s="355">
        <f>D447+D451+D441+D444+D435+D438+D400+D404+D397+D426+D455+D420+D423+D414+D417+D408+D411+D391+D394+D429+D432</f>
        <v>88523874.079999998</v>
      </c>
      <c r="E386" s="355">
        <f t="shared" ref="E386:G388" si="157">E447+E451+E441+E444+E435+E438+E400+E404+E397+E426+E455+E420+E423+E414+E417+E408+E411+E391+E394+E429+E432</f>
        <v>253069690.71999997</v>
      </c>
      <c r="F386" s="355">
        <f t="shared" si="157"/>
        <v>36090495.75</v>
      </c>
      <c r="G386" s="355">
        <f t="shared" si="157"/>
        <v>-164545816.63999999</v>
      </c>
      <c r="H386" s="251">
        <f t="shared" si="152"/>
        <v>0</v>
      </c>
      <c r="I386" s="251">
        <f t="shared" si="102"/>
        <v>1</v>
      </c>
    </row>
    <row r="387" spans="1:10" x14ac:dyDescent="0.25">
      <c r="A387" s="306"/>
      <c r="B387" s="307" t="s">
        <v>429</v>
      </c>
      <c r="C387" s="308"/>
      <c r="D387" s="321">
        <f>D448+D452+D442+D445+D436+D439+D401+D405+D398+D427+D456+D421+D424+D415+D418+D409+D412+D392+D395+D430+D433</f>
        <v>43295360.570000008</v>
      </c>
      <c r="E387" s="321">
        <f t="shared" si="157"/>
        <v>43332077.210000008</v>
      </c>
      <c r="F387" s="321">
        <f t="shared" si="157"/>
        <v>11160840.16</v>
      </c>
      <c r="G387" s="321">
        <f t="shared" si="157"/>
        <v>-164545816.63999999</v>
      </c>
      <c r="H387" s="251">
        <f t="shared" si="152"/>
        <v>0</v>
      </c>
      <c r="I387" s="251">
        <f t="shared" si="102"/>
        <v>1</v>
      </c>
    </row>
    <row r="388" spans="1:10" x14ac:dyDescent="0.25">
      <c r="A388" s="306"/>
      <c r="B388" s="307" t="s">
        <v>430</v>
      </c>
      <c r="C388" s="308"/>
      <c r="D388" s="321">
        <f>D449+D453+D443+D446+D437+D440+D402+D406+D399+D428+D457+D422+D425+D416+D419+D410+D413+D393+D396+D431+D434</f>
        <v>0</v>
      </c>
      <c r="E388" s="321">
        <f t="shared" si="157"/>
        <v>0</v>
      </c>
      <c r="F388" s="321">
        <f t="shared" si="157"/>
        <v>0</v>
      </c>
      <c r="G388" s="321">
        <f t="shared" si="157"/>
        <v>0</v>
      </c>
      <c r="H388" s="251">
        <f t="shared" si="152"/>
        <v>0</v>
      </c>
      <c r="I388" s="251">
        <f t="shared" si="102"/>
        <v>0</v>
      </c>
    </row>
    <row r="389" spans="1:10" x14ac:dyDescent="0.25">
      <c r="A389" s="306"/>
      <c r="B389" s="307" t="s">
        <v>447</v>
      </c>
      <c r="C389" s="308"/>
      <c r="D389" s="321">
        <f>D386-D387-D388</f>
        <v>45228513.50999999</v>
      </c>
      <c r="E389" s="321">
        <f t="shared" ref="E389:G389" si="158">E386-E387-E388</f>
        <v>209737613.50999996</v>
      </c>
      <c r="F389" s="321">
        <f t="shared" si="158"/>
        <v>24929655.59</v>
      </c>
      <c r="G389" s="321">
        <f t="shared" si="158"/>
        <v>0</v>
      </c>
      <c r="H389" s="251">
        <f t="shared" si="152"/>
        <v>0</v>
      </c>
      <c r="I389" s="251">
        <f t="shared" si="102"/>
        <v>0</v>
      </c>
    </row>
    <row r="390" spans="1:10" x14ac:dyDescent="0.25">
      <c r="A390" s="254"/>
      <c r="B390" s="240" t="s">
        <v>376</v>
      </c>
      <c r="C390" s="278"/>
      <c r="D390" s="279"/>
      <c r="E390" s="279"/>
      <c r="F390" s="279"/>
      <c r="G390" s="279"/>
      <c r="H390" s="251">
        <f t="shared" si="152"/>
        <v>0</v>
      </c>
      <c r="I390" s="251">
        <f t="shared" si="102"/>
        <v>0</v>
      </c>
    </row>
    <row r="391" spans="1:10" ht="63.75" x14ac:dyDescent="0.25">
      <c r="A391" s="254"/>
      <c r="B391" s="356" t="s">
        <v>578</v>
      </c>
      <c r="C391" s="256" t="s">
        <v>579</v>
      </c>
      <c r="D391" s="357">
        <v>1150000</v>
      </c>
      <c r="E391" s="275">
        <f>'Проверочная  таблица'!JG38</f>
        <v>1150000</v>
      </c>
      <c r="F391" s="275">
        <f>'Проверочная  таблица'!JJ38</f>
        <v>29645.71</v>
      </c>
      <c r="G391" s="259">
        <f>D391-E391</f>
        <v>0</v>
      </c>
      <c r="H391" s="251">
        <f t="shared" si="152"/>
        <v>0</v>
      </c>
      <c r="I391" s="251">
        <f t="shared" si="102"/>
        <v>0</v>
      </c>
      <c r="J391" s="317">
        <f>D391+D394</f>
        <v>23000000</v>
      </c>
    </row>
    <row r="392" spans="1:10" x14ac:dyDescent="0.25">
      <c r="A392" s="312"/>
      <c r="B392" s="313" t="s">
        <v>429</v>
      </c>
      <c r="C392" s="349"/>
      <c r="D392" s="315">
        <f>D391</f>
        <v>1150000</v>
      </c>
      <c r="E392" s="315">
        <f>E391</f>
        <v>1150000</v>
      </c>
      <c r="F392" s="315">
        <f>F391</f>
        <v>29645.71</v>
      </c>
      <c r="G392" s="315">
        <f>G391</f>
        <v>0</v>
      </c>
      <c r="H392" s="251">
        <f t="shared" si="152"/>
        <v>0</v>
      </c>
      <c r="I392" s="251">
        <f t="shared" si="102"/>
        <v>0</v>
      </c>
    </row>
    <row r="393" spans="1:10" x14ac:dyDescent="0.25">
      <c r="A393" s="312"/>
      <c r="B393" s="313" t="s">
        <v>430</v>
      </c>
      <c r="C393" s="314"/>
      <c r="D393" s="315"/>
      <c r="E393" s="315"/>
      <c r="F393" s="315"/>
      <c r="G393" s="315">
        <f>D393-E393</f>
        <v>0</v>
      </c>
      <c r="H393" s="251">
        <f t="shared" si="152"/>
        <v>0</v>
      </c>
      <c r="I393" s="251">
        <f t="shared" si="102"/>
        <v>0</v>
      </c>
    </row>
    <row r="394" spans="1:10" x14ac:dyDescent="0.25">
      <c r="A394" s="282"/>
      <c r="B394" s="266" t="s">
        <v>398</v>
      </c>
      <c r="C394" s="283" t="s">
        <v>579</v>
      </c>
      <c r="D394" s="318">
        <v>21850000</v>
      </c>
      <c r="E394" s="269">
        <f>'Проверочная  таблица'!JH38</f>
        <v>21850000</v>
      </c>
      <c r="F394" s="269">
        <f>'Проверочная  таблица'!JK38</f>
        <v>563268.53</v>
      </c>
      <c r="G394" s="270">
        <f>D394-E394</f>
        <v>0</v>
      </c>
      <c r="H394" s="251">
        <f t="shared" si="152"/>
        <v>0</v>
      </c>
      <c r="I394" s="251">
        <f t="shared" si="102"/>
        <v>0</v>
      </c>
    </row>
    <row r="395" spans="1:10" x14ac:dyDescent="0.25">
      <c r="A395" s="282"/>
      <c r="B395" s="319" t="s">
        <v>429</v>
      </c>
      <c r="C395" s="320"/>
      <c r="D395" s="270">
        <f>D394</f>
        <v>21850000</v>
      </c>
      <c r="E395" s="270">
        <f>E394</f>
        <v>21850000</v>
      </c>
      <c r="F395" s="270">
        <f>F394</f>
        <v>563268.53</v>
      </c>
      <c r="G395" s="270">
        <f>G394</f>
        <v>0</v>
      </c>
      <c r="H395" s="251">
        <f t="shared" si="152"/>
        <v>0</v>
      </c>
      <c r="I395" s="251">
        <f t="shared" si="102"/>
        <v>0</v>
      </c>
    </row>
    <row r="396" spans="1:10" x14ac:dyDescent="0.25">
      <c r="A396" s="282"/>
      <c r="B396" s="319" t="s">
        <v>430</v>
      </c>
      <c r="C396" s="320"/>
      <c r="D396" s="270"/>
      <c r="E396" s="270"/>
      <c r="F396" s="270"/>
      <c r="G396" s="270">
        <f>D396-E396</f>
        <v>0</v>
      </c>
      <c r="H396" s="251">
        <f t="shared" si="152"/>
        <v>0</v>
      </c>
      <c r="I396" s="251">
        <f t="shared" si="102"/>
        <v>0</v>
      </c>
    </row>
    <row r="397" spans="1:10" ht="165.75" hidden="1" x14ac:dyDescent="0.25">
      <c r="A397" s="310"/>
      <c r="B397" s="255" t="s">
        <v>580</v>
      </c>
      <c r="C397" s="256" t="s">
        <v>581</v>
      </c>
      <c r="D397" s="279"/>
      <c r="E397" s="275">
        <f>'Проверочная  таблица'!LW39</f>
        <v>0</v>
      </c>
      <c r="F397" s="275">
        <f>'Проверочная  таблица'!MA39</f>
        <v>0</v>
      </c>
      <c r="G397" s="259">
        <f t="shared" ref="G397:G428" si="159">D397-E397</f>
        <v>0</v>
      </c>
      <c r="H397" s="251">
        <f t="shared" si="152"/>
        <v>0</v>
      </c>
      <c r="I397" s="251">
        <f t="shared" si="102"/>
        <v>0</v>
      </c>
    </row>
    <row r="398" spans="1:10" hidden="1" x14ac:dyDescent="0.25">
      <c r="A398" s="312"/>
      <c r="B398" s="313" t="s">
        <v>429</v>
      </c>
      <c r="C398" s="314"/>
      <c r="D398" s="315">
        <f>D397</f>
        <v>0</v>
      </c>
      <c r="E398" s="315">
        <f>E397</f>
        <v>0</v>
      </c>
      <c r="F398" s="315">
        <f>F397</f>
        <v>0</v>
      </c>
      <c r="G398" s="315">
        <f t="shared" si="159"/>
        <v>0</v>
      </c>
      <c r="H398" s="251">
        <f t="shared" si="152"/>
        <v>0</v>
      </c>
      <c r="I398" s="251">
        <f t="shared" si="102"/>
        <v>0</v>
      </c>
    </row>
    <row r="399" spans="1:10" hidden="1" x14ac:dyDescent="0.25">
      <c r="A399" s="312"/>
      <c r="B399" s="313" t="s">
        <v>430</v>
      </c>
      <c r="C399" s="314"/>
      <c r="D399" s="315"/>
      <c r="E399" s="315"/>
      <c r="F399" s="315"/>
      <c r="G399" s="315">
        <f t="shared" si="159"/>
        <v>0</v>
      </c>
      <c r="H399" s="251">
        <f t="shared" si="152"/>
        <v>0</v>
      </c>
      <c r="I399" s="251">
        <f t="shared" si="102"/>
        <v>0</v>
      </c>
    </row>
    <row r="400" spans="1:10" ht="153" x14ac:dyDescent="0.25">
      <c r="A400" s="254"/>
      <c r="B400" s="356" t="s">
        <v>582</v>
      </c>
      <c r="C400" s="256" t="s">
        <v>583</v>
      </c>
      <c r="D400" s="357">
        <f>5415308.11+2976859.46+2073113.51</f>
        <v>10465281.08</v>
      </c>
      <c r="E400" s="275">
        <f>'Проверочная  таблица'!LX39</f>
        <v>10465281.08</v>
      </c>
      <c r="F400" s="275">
        <f>'Проверочная  таблица'!MB39</f>
        <v>5488602.29</v>
      </c>
      <c r="G400" s="259">
        <f t="shared" si="159"/>
        <v>0</v>
      </c>
      <c r="H400" s="251">
        <f t="shared" si="152"/>
        <v>0</v>
      </c>
      <c r="I400" s="251">
        <f t="shared" si="102"/>
        <v>0</v>
      </c>
      <c r="J400" s="317">
        <f>D400+D404</f>
        <v>40251081.079999998</v>
      </c>
    </row>
    <row r="401" spans="1:10" x14ac:dyDescent="0.25">
      <c r="A401" s="312"/>
      <c r="B401" s="313" t="s">
        <v>429</v>
      </c>
      <c r="C401" s="349"/>
      <c r="D401" s="315"/>
      <c r="E401" s="315"/>
      <c r="F401" s="315"/>
      <c r="G401" s="315">
        <f t="shared" si="159"/>
        <v>0</v>
      </c>
      <c r="H401" s="251">
        <f t="shared" si="152"/>
        <v>0</v>
      </c>
      <c r="I401" s="251">
        <f t="shared" si="102"/>
        <v>0</v>
      </c>
    </row>
    <row r="402" spans="1:10" x14ac:dyDescent="0.25">
      <c r="A402" s="312"/>
      <c r="B402" s="313" t="s">
        <v>430</v>
      </c>
      <c r="C402" s="314"/>
      <c r="D402" s="315"/>
      <c r="E402" s="315"/>
      <c r="F402" s="315"/>
      <c r="G402" s="315">
        <f t="shared" si="159"/>
        <v>0</v>
      </c>
      <c r="H402" s="251">
        <f t="shared" si="152"/>
        <v>0</v>
      </c>
      <c r="I402" s="251">
        <f t="shared" si="102"/>
        <v>0</v>
      </c>
      <c r="J402" s="317"/>
    </row>
    <row r="403" spans="1:10" x14ac:dyDescent="0.25">
      <c r="A403" s="312"/>
      <c r="B403" s="313" t="s">
        <v>447</v>
      </c>
      <c r="C403" s="314"/>
      <c r="D403" s="315">
        <f>D400</f>
        <v>10465281.08</v>
      </c>
      <c r="E403" s="315">
        <f>E400</f>
        <v>10465281.08</v>
      </c>
      <c r="F403" s="315">
        <f>F400</f>
        <v>5488602.29</v>
      </c>
      <c r="G403" s="315">
        <f t="shared" si="159"/>
        <v>0</v>
      </c>
      <c r="H403" s="251">
        <f t="shared" si="152"/>
        <v>0</v>
      </c>
      <c r="I403" s="251">
        <f t="shared" si="102"/>
        <v>0</v>
      </c>
      <c r="J403" s="317"/>
    </row>
    <row r="404" spans="1:10" x14ac:dyDescent="0.25">
      <c r="A404" s="282"/>
      <c r="B404" s="266" t="s">
        <v>398</v>
      </c>
      <c r="C404" s="283" t="s">
        <v>583</v>
      </c>
      <c r="D404" s="318">
        <f>15412800+8472600+5900400</f>
        <v>29785800</v>
      </c>
      <c r="E404" s="269">
        <f>'Проверочная  таблица'!LY39</f>
        <v>29785800</v>
      </c>
      <c r="F404" s="269">
        <f>'Проверочная  таблица'!MC39</f>
        <v>15621406.539999999</v>
      </c>
      <c r="G404" s="270">
        <f t="shared" si="159"/>
        <v>0</v>
      </c>
      <c r="H404" s="251">
        <f t="shared" si="152"/>
        <v>0</v>
      </c>
      <c r="I404" s="251">
        <f t="shared" si="102"/>
        <v>0</v>
      </c>
    </row>
    <row r="405" spans="1:10" x14ac:dyDescent="0.25">
      <c r="A405" s="282"/>
      <c r="B405" s="319" t="s">
        <v>429</v>
      </c>
      <c r="C405" s="320"/>
      <c r="D405" s="270"/>
      <c r="E405" s="270"/>
      <c r="F405" s="270"/>
      <c r="G405" s="270">
        <f t="shared" si="159"/>
        <v>0</v>
      </c>
      <c r="H405" s="251">
        <f t="shared" si="152"/>
        <v>0</v>
      </c>
      <c r="I405" s="251">
        <f t="shared" si="102"/>
        <v>0</v>
      </c>
    </row>
    <row r="406" spans="1:10" x14ac:dyDescent="0.25">
      <c r="A406" s="282"/>
      <c r="B406" s="319" t="s">
        <v>430</v>
      </c>
      <c r="C406" s="320"/>
      <c r="D406" s="270"/>
      <c r="E406" s="270"/>
      <c r="F406" s="270"/>
      <c r="G406" s="270">
        <f t="shared" si="159"/>
        <v>0</v>
      </c>
      <c r="H406" s="251">
        <f t="shared" si="152"/>
        <v>0</v>
      </c>
      <c r="I406" s="251">
        <f t="shared" si="102"/>
        <v>0</v>
      </c>
    </row>
    <row r="407" spans="1:10" x14ac:dyDescent="0.25">
      <c r="A407" s="282"/>
      <c r="B407" s="319" t="s">
        <v>447</v>
      </c>
      <c r="C407" s="320"/>
      <c r="D407" s="358">
        <f>D404</f>
        <v>29785800</v>
      </c>
      <c r="E407" s="358">
        <f>E404</f>
        <v>29785800</v>
      </c>
      <c r="F407" s="358">
        <f>F404</f>
        <v>15621406.539999999</v>
      </c>
      <c r="G407" s="270">
        <f t="shared" si="159"/>
        <v>0</v>
      </c>
      <c r="H407" s="251">
        <f t="shared" si="152"/>
        <v>0</v>
      </c>
      <c r="I407" s="251">
        <f t="shared" si="102"/>
        <v>0</v>
      </c>
    </row>
    <row r="408" spans="1:10" ht="63.75" x14ac:dyDescent="0.25">
      <c r="A408" s="254"/>
      <c r="B408" s="356" t="s">
        <v>584</v>
      </c>
      <c r="C408" s="256" t="s">
        <v>585</v>
      </c>
      <c r="D408" s="357">
        <v>348726.32</v>
      </c>
      <c r="E408" s="275">
        <f>'Проверочная  таблица'!RA38</f>
        <v>348726.3200000003</v>
      </c>
      <c r="F408" s="275">
        <f>'Проверочная  таблица'!RD38</f>
        <v>81991.95</v>
      </c>
      <c r="G408" s="259">
        <f t="shared" si="159"/>
        <v>0</v>
      </c>
      <c r="H408" s="251">
        <f t="shared" si="152"/>
        <v>0</v>
      </c>
      <c r="I408" s="251">
        <f t="shared" si="102"/>
        <v>0</v>
      </c>
      <c r="J408" s="317">
        <f>D408+D411</f>
        <v>6974526.3200000003</v>
      </c>
    </row>
    <row r="409" spans="1:10" x14ac:dyDescent="0.25">
      <c r="A409" s="312"/>
      <c r="B409" s="313" t="s">
        <v>429</v>
      </c>
      <c r="C409" s="349"/>
      <c r="D409" s="315">
        <f>D408</f>
        <v>348726.32</v>
      </c>
      <c r="E409" s="315">
        <f t="shared" ref="E409:F409" si="160">E408</f>
        <v>348726.3200000003</v>
      </c>
      <c r="F409" s="315">
        <f t="shared" si="160"/>
        <v>81991.95</v>
      </c>
      <c r="G409" s="315">
        <f t="shared" si="159"/>
        <v>0</v>
      </c>
      <c r="H409" s="251">
        <f t="shared" si="152"/>
        <v>0</v>
      </c>
      <c r="I409" s="251">
        <f t="shared" si="102"/>
        <v>0</v>
      </c>
    </row>
    <row r="410" spans="1:10" x14ac:dyDescent="0.25">
      <c r="A410" s="312"/>
      <c r="B410" s="313" t="s">
        <v>430</v>
      </c>
      <c r="C410" s="314"/>
      <c r="D410" s="315"/>
      <c r="E410" s="315"/>
      <c r="F410" s="315"/>
      <c r="G410" s="315">
        <f t="shared" si="159"/>
        <v>0</v>
      </c>
      <c r="H410" s="251">
        <f t="shared" si="152"/>
        <v>0</v>
      </c>
      <c r="I410" s="251">
        <f t="shared" si="102"/>
        <v>0</v>
      </c>
      <c r="J410" s="317"/>
    </row>
    <row r="411" spans="1:10" x14ac:dyDescent="0.25">
      <c r="A411" s="282"/>
      <c r="B411" s="266" t="s">
        <v>398</v>
      </c>
      <c r="C411" s="283" t="s">
        <v>585</v>
      </c>
      <c r="D411" s="318">
        <v>6625800</v>
      </c>
      <c r="E411" s="269">
        <f>'Проверочная  таблица'!RB38</f>
        <v>6625800</v>
      </c>
      <c r="F411" s="269">
        <f>'Проверочная  таблица'!RE38</f>
        <v>1557847.01</v>
      </c>
      <c r="G411" s="270">
        <f t="shared" si="159"/>
        <v>0</v>
      </c>
      <c r="H411" s="251">
        <f t="shared" si="152"/>
        <v>0</v>
      </c>
      <c r="I411" s="251">
        <f t="shared" si="102"/>
        <v>0</v>
      </c>
    </row>
    <row r="412" spans="1:10" x14ac:dyDescent="0.25">
      <c r="A412" s="282"/>
      <c r="B412" s="319" t="s">
        <v>429</v>
      </c>
      <c r="C412" s="320"/>
      <c r="D412" s="270">
        <f>D411</f>
        <v>6625800</v>
      </c>
      <c r="E412" s="270">
        <f t="shared" ref="E412:F412" si="161">E411</f>
        <v>6625800</v>
      </c>
      <c r="F412" s="270">
        <f t="shared" si="161"/>
        <v>1557847.01</v>
      </c>
      <c r="G412" s="270">
        <f t="shared" si="159"/>
        <v>0</v>
      </c>
      <c r="H412" s="251">
        <f t="shared" si="152"/>
        <v>0</v>
      </c>
      <c r="I412" s="251">
        <f t="shared" si="102"/>
        <v>0</v>
      </c>
    </row>
    <row r="413" spans="1:10" x14ac:dyDescent="0.25">
      <c r="A413" s="282"/>
      <c r="B413" s="319" t="s">
        <v>430</v>
      </c>
      <c r="C413" s="320"/>
      <c r="D413" s="270"/>
      <c r="E413" s="270"/>
      <c r="F413" s="270"/>
      <c r="G413" s="270">
        <f t="shared" si="159"/>
        <v>0</v>
      </c>
      <c r="H413" s="251">
        <f t="shared" si="152"/>
        <v>0</v>
      </c>
      <c r="I413" s="251">
        <f t="shared" si="102"/>
        <v>0</v>
      </c>
    </row>
    <row r="414" spans="1:10" ht="63.75" hidden="1" x14ac:dyDescent="0.25">
      <c r="A414" s="310"/>
      <c r="B414" s="356" t="s">
        <v>586</v>
      </c>
      <c r="C414" s="256" t="s">
        <v>587</v>
      </c>
      <c r="D414" s="357"/>
      <c r="E414" s="275">
        <f>'Проверочная  таблица'!RG39</f>
        <v>0</v>
      </c>
      <c r="F414" s="275">
        <f>'Проверочная  таблица'!RJ39</f>
        <v>0</v>
      </c>
      <c r="G414" s="259">
        <f t="shared" si="159"/>
        <v>0</v>
      </c>
      <c r="H414" s="251">
        <f t="shared" si="152"/>
        <v>0</v>
      </c>
      <c r="I414" s="251">
        <f t="shared" si="102"/>
        <v>0</v>
      </c>
      <c r="J414" s="317">
        <f>D414+D417</f>
        <v>0</v>
      </c>
    </row>
    <row r="415" spans="1:10" hidden="1" x14ac:dyDescent="0.25">
      <c r="A415" s="312"/>
      <c r="B415" s="313" t="s">
        <v>429</v>
      </c>
      <c r="C415" s="349"/>
      <c r="D415" s="315">
        <f>D414</f>
        <v>0</v>
      </c>
      <c r="E415" s="315">
        <f t="shared" ref="E415:F415" si="162">E414</f>
        <v>0</v>
      </c>
      <c r="F415" s="315">
        <f t="shared" si="162"/>
        <v>0</v>
      </c>
      <c r="G415" s="315">
        <f t="shared" si="159"/>
        <v>0</v>
      </c>
      <c r="H415" s="251">
        <f t="shared" si="152"/>
        <v>0</v>
      </c>
      <c r="I415" s="251">
        <f t="shared" si="102"/>
        <v>0</v>
      </c>
    </row>
    <row r="416" spans="1:10" hidden="1" x14ac:dyDescent="0.25">
      <c r="A416" s="312"/>
      <c r="B416" s="313" t="s">
        <v>430</v>
      </c>
      <c r="C416" s="314"/>
      <c r="D416" s="315"/>
      <c r="E416" s="315"/>
      <c r="F416" s="315"/>
      <c r="G416" s="315">
        <f t="shared" si="159"/>
        <v>0</v>
      </c>
      <c r="H416" s="251">
        <f t="shared" si="152"/>
        <v>0</v>
      </c>
      <c r="I416" s="251">
        <f t="shared" si="102"/>
        <v>0</v>
      </c>
      <c r="J416" s="317"/>
    </row>
    <row r="417" spans="1:10" hidden="1" x14ac:dyDescent="0.25">
      <c r="A417" s="282"/>
      <c r="B417" s="266" t="s">
        <v>398</v>
      </c>
      <c r="C417" s="283" t="s">
        <v>587</v>
      </c>
      <c r="D417" s="318"/>
      <c r="E417" s="269">
        <f>'Проверочная  таблица'!RH39</f>
        <v>0</v>
      </c>
      <c r="F417" s="269">
        <f>'Проверочная  таблица'!RK39</f>
        <v>0</v>
      </c>
      <c r="G417" s="270">
        <f t="shared" si="159"/>
        <v>0</v>
      </c>
      <c r="H417" s="251">
        <f t="shared" si="152"/>
        <v>0</v>
      </c>
      <c r="I417" s="251">
        <f t="shared" si="102"/>
        <v>0</v>
      </c>
    </row>
    <row r="418" spans="1:10" hidden="1" x14ac:dyDescent="0.25">
      <c r="A418" s="282"/>
      <c r="B418" s="319" t="s">
        <v>429</v>
      </c>
      <c r="C418" s="320"/>
      <c r="D418" s="270">
        <f>D417</f>
        <v>0</v>
      </c>
      <c r="E418" s="270">
        <f t="shared" ref="E418:F418" si="163">E417</f>
        <v>0</v>
      </c>
      <c r="F418" s="270">
        <f t="shared" si="163"/>
        <v>0</v>
      </c>
      <c r="G418" s="270">
        <f t="shared" si="159"/>
        <v>0</v>
      </c>
      <c r="H418" s="251">
        <f t="shared" si="152"/>
        <v>0</v>
      </c>
      <c r="I418" s="251">
        <f t="shared" si="102"/>
        <v>0</v>
      </c>
    </row>
    <row r="419" spans="1:10" hidden="1" x14ac:dyDescent="0.25">
      <c r="A419" s="282"/>
      <c r="B419" s="319" t="s">
        <v>430</v>
      </c>
      <c r="C419" s="320"/>
      <c r="D419" s="270"/>
      <c r="E419" s="270"/>
      <c r="F419" s="270"/>
      <c r="G419" s="270">
        <f t="shared" si="159"/>
        <v>0</v>
      </c>
      <c r="H419" s="251">
        <f t="shared" si="152"/>
        <v>0</v>
      </c>
      <c r="I419" s="251">
        <f t="shared" si="102"/>
        <v>0</v>
      </c>
    </row>
    <row r="420" spans="1:10" ht="76.5" hidden="1" x14ac:dyDescent="0.25">
      <c r="A420" s="310"/>
      <c r="B420" s="356" t="s">
        <v>588</v>
      </c>
      <c r="C420" s="256" t="s">
        <v>589</v>
      </c>
      <c r="D420" s="357"/>
      <c r="E420" s="275">
        <f>'Проверочная  таблица'!SE38</f>
        <v>0</v>
      </c>
      <c r="F420" s="275">
        <f>'Проверочная  таблица'!SH38</f>
        <v>0</v>
      </c>
      <c r="G420" s="259">
        <f t="shared" si="159"/>
        <v>0</v>
      </c>
      <c r="H420" s="251">
        <f t="shared" si="152"/>
        <v>0</v>
      </c>
      <c r="I420" s="251">
        <f t="shared" si="102"/>
        <v>0</v>
      </c>
      <c r="J420" s="317">
        <f>D420+D423</f>
        <v>0</v>
      </c>
    </row>
    <row r="421" spans="1:10" hidden="1" x14ac:dyDescent="0.25">
      <c r="A421" s="312"/>
      <c r="B421" s="313" t="s">
        <v>429</v>
      </c>
      <c r="C421" s="349"/>
      <c r="D421" s="315">
        <f>D420</f>
        <v>0</v>
      </c>
      <c r="E421" s="315">
        <f t="shared" ref="E421:F421" si="164">E420</f>
        <v>0</v>
      </c>
      <c r="F421" s="315">
        <f t="shared" si="164"/>
        <v>0</v>
      </c>
      <c r="G421" s="315">
        <f t="shared" si="159"/>
        <v>0</v>
      </c>
      <c r="H421" s="251">
        <f t="shared" si="152"/>
        <v>0</v>
      </c>
      <c r="I421" s="251">
        <f t="shared" si="102"/>
        <v>0</v>
      </c>
    </row>
    <row r="422" spans="1:10" hidden="1" x14ac:dyDescent="0.25">
      <c r="A422" s="312"/>
      <c r="B422" s="313" t="s">
        <v>430</v>
      </c>
      <c r="C422" s="314"/>
      <c r="D422" s="315"/>
      <c r="E422" s="315"/>
      <c r="F422" s="315"/>
      <c r="G422" s="315">
        <f t="shared" si="159"/>
        <v>0</v>
      </c>
      <c r="H422" s="251">
        <f t="shared" si="152"/>
        <v>0</v>
      </c>
      <c r="I422" s="251">
        <f t="shared" si="102"/>
        <v>0</v>
      </c>
      <c r="J422" s="317"/>
    </row>
    <row r="423" spans="1:10" hidden="1" x14ac:dyDescent="0.25">
      <c r="A423" s="282"/>
      <c r="B423" s="266" t="s">
        <v>398</v>
      </c>
      <c r="C423" s="283" t="s">
        <v>589</v>
      </c>
      <c r="D423" s="318">
        <v>0</v>
      </c>
      <c r="E423" s="269">
        <f>'Проверочная  таблица'!SF38</f>
        <v>0</v>
      </c>
      <c r="F423" s="269">
        <f>'Проверочная  таблица'!SI38</f>
        <v>0</v>
      </c>
      <c r="G423" s="270">
        <f t="shared" si="159"/>
        <v>0</v>
      </c>
      <c r="H423" s="251">
        <f t="shared" si="152"/>
        <v>0</v>
      </c>
      <c r="I423" s="251">
        <f t="shared" si="102"/>
        <v>0</v>
      </c>
    </row>
    <row r="424" spans="1:10" hidden="1" x14ac:dyDescent="0.25">
      <c r="A424" s="282"/>
      <c r="B424" s="319" t="s">
        <v>429</v>
      </c>
      <c r="C424" s="320"/>
      <c r="D424" s="270">
        <f>D423</f>
        <v>0</v>
      </c>
      <c r="E424" s="270">
        <f t="shared" ref="E424:F424" si="165">E423</f>
        <v>0</v>
      </c>
      <c r="F424" s="270">
        <f t="shared" si="165"/>
        <v>0</v>
      </c>
      <c r="G424" s="270">
        <f t="shared" si="159"/>
        <v>0</v>
      </c>
      <c r="H424" s="251">
        <f t="shared" si="152"/>
        <v>0</v>
      </c>
      <c r="I424" s="251">
        <f t="shared" si="102"/>
        <v>0</v>
      </c>
    </row>
    <row r="425" spans="1:10" hidden="1" x14ac:dyDescent="0.25">
      <c r="A425" s="282"/>
      <c r="B425" s="319" t="s">
        <v>430</v>
      </c>
      <c r="C425" s="320"/>
      <c r="D425" s="270"/>
      <c r="E425" s="270"/>
      <c r="F425" s="270"/>
      <c r="G425" s="270">
        <f t="shared" si="159"/>
        <v>0</v>
      </c>
      <c r="H425" s="251">
        <f t="shared" si="152"/>
        <v>0</v>
      </c>
      <c r="I425" s="251">
        <f t="shared" si="102"/>
        <v>0</v>
      </c>
    </row>
    <row r="426" spans="1:10" ht="140.25" x14ac:dyDescent="0.25">
      <c r="A426" s="254"/>
      <c r="B426" s="255" t="s">
        <v>590</v>
      </c>
      <c r="C426" s="256" t="s">
        <v>591</v>
      </c>
      <c r="D426" s="279">
        <v>600000</v>
      </c>
      <c r="E426" s="275">
        <f>'Прочая  субсидия_МР  и  ГО'!T43</f>
        <v>600000</v>
      </c>
      <c r="F426" s="275">
        <f>'Прочая  субсидия_МР  и  ГО'!U43</f>
        <v>600000</v>
      </c>
      <c r="G426" s="259">
        <f t="shared" si="159"/>
        <v>0</v>
      </c>
      <c r="H426" s="251">
        <f>IF(F426&gt;E426,1,0)</f>
        <v>0</v>
      </c>
      <c r="I426" s="251">
        <f>IF(G426&lt;0,1,0)</f>
        <v>0</v>
      </c>
    </row>
    <row r="427" spans="1:10" x14ac:dyDescent="0.25">
      <c r="A427" s="312"/>
      <c r="B427" s="313" t="s">
        <v>429</v>
      </c>
      <c r="C427" s="314"/>
      <c r="D427" s="315">
        <f>D426</f>
        <v>600000</v>
      </c>
      <c r="E427" s="315">
        <f>E426</f>
        <v>600000</v>
      </c>
      <c r="F427" s="315">
        <f>F426</f>
        <v>600000</v>
      </c>
      <c r="G427" s="315">
        <f t="shared" si="159"/>
        <v>0</v>
      </c>
      <c r="H427" s="251">
        <f>IF(F427&gt;E427,1,0)</f>
        <v>0</v>
      </c>
      <c r="I427" s="251">
        <f>IF(G427&lt;0,1,0)</f>
        <v>0</v>
      </c>
    </row>
    <row r="428" spans="1:10" x14ac:dyDescent="0.25">
      <c r="A428" s="312"/>
      <c r="B428" s="313" t="s">
        <v>430</v>
      </c>
      <c r="C428" s="314"/>
      <c r="D428" s="315"/>
      <c r="E428" s="315"/>
      <c r="F428" s="315"/>
      <c r="G428" s="315">
        <f t="shared" si="159"/>
        <v>0</v>
      </c>
      <c r="H428" s="251">
        <f>IF(F428&gt;E428,1,0)</f>
        <v>0</v>
      </c>
      <c r="I428" s="251">
        <f>IF(G428&lt;0,1,0)</f>
        <v>0</v>
      </c>
    </row>
    <row r="429" spans="1:10" ht="63.75" x14ac:dyDescent="0.25">
      <c r="A429" s="254"/>
      <c r="B429" s="356" t="s">
        <v>592</v>
      </c>
      <c r="C429" s="256" t="s">
        <v>593</v>
      </c>
      <c r="D429" s="357">
        <v>131578.95000000001</v>
      </c>
      <c r="E429" s="275">
        <f>'Проверочная  таблица'!IQ39</f>
        <v>131578.95000000001</v>
      </c>
      <c r="F429" s="275">
        <f>'Проверочная  таблица'!IT39</f>
        <v>0</v>
      </c>
      <c r="G429" s="259">
        <f>D429-E429</f>
        <v>0</v>
      </c>
      <c r="H429" s="251">
        <f t="shared" ref="H429:H457" si="166">IF(F429&gt;E429,1,0)</f>
        <v>0</v>
      </c>
      <c r="I429" s="251">
        <f t="shared" ref="I429:I457" si="167">IF(G429&lt;0,1,0)</f>
        <v>0</v>
      </c>
      <c r="J429" s="317">
        <f>D429+D432</f>
        <v>2631578.9500000002</v>
      </c>
    </row>
    <row r="430" spans="1:10" x14ac:dyDescent="0.25">
      <c r="A430" s="312"/>
      <c r="B430" s="313" t="s">
        <v>429</v>
      </c>
      <c r="C430" s="349"/>
      <c r="D430" s="315">
        <f>D429</f>
        <v>131578.95000000001</v>
      </c>
      <c r="E430" s="315">
        <f>E429</f>
        <v>131578.95000000001</v>
      </c>
      <c r="F430" s="315">
        <f>F429</f>
        <v>0</v>
      </c>
      <c r="G430" s="315">
        <f>G429</f>
        <v>0</v>
      </c>
      <c r="H430" s="251">
        <f t="shared" si="166"/>
        <v>0</v>
      </c>
      <c r="I430" s="251">
        <f t="shared" si="167"/>
        <v>0</v>
      </c>
    </row>
    <row r="431" spans="1:10" x14ac:dyDescent="0.25">
      <c r="A431" s="312"/>
      <c r="B431" s="313" t="s">
        <v>430</v>
      </c>
      <c r="C431" s="314"/>
      <c r="D431" s="315"/>
      <c r="E431" s="315"/>
      <c r="F431" s="315"/>
      <c r="G431" s="315">
        <f>D431-E431</f>
        <v>0</v>
      </c>
      <c r="H431" s="251">
        <f t="shared" si="166"/>
        <v>0</v>
      </c>
      <c r="I431" s="251">
        <f t="shared" si="167"/>
        <v>0</v>
      </c>
    </row>
    <row r="432" spans="1:10" x14ac:dyDescent="0.25">
      <c r="A432" s="282"/>
      <c r="B432" s="266" t="s">
        <v>398</v>
      </c>
      <c r="C432" s="283" t="s">
        <v>593</v>
      </c>
      <c r="D432" s="318">
        <v>2500000</v>
      </c>
      <c r="E432" s="269">
        <f>'Проверочная  таблица'!IR39</f>
        <v>2500000</v>
      </c>
      <c r="F432" s="269">
        <f>'Проверочная  таблица'!IU39</f>
        <v>0</v>
      </c>
      <c r="G432" s="270">
        <f>D432-E432</f>
        <v>0</v>
      </c>
      <c r="H432" s="251">
        <f t="shared" si="166"/>
        <v>0</v>
      </c>
      <c r="I432" s="251">
        <f t="shared" si="167"/>
        <v>0</v>
      </c>
    </row>
    <row r="433" spans="1:10" x14ac:dyDescent="0.25">
      <c r="A433" s="282"/>
      <c r="B433" s="319" t="s">
        <v>429</v>
      </c>
      <c r="C433" s="320"/>
      <c r="D433" s="270">
        <f>D432</f>
        <v>2500000</v>
      </c>
      <c r="E433" s="270">
        <f>E432</f>
        <v>2500000</v>
      </c>
      <c r="F433" s="270">
        <f>F432</f>
        <v>0</v>
      </c>
      <c r="G433" s="270">
        <f>G432</f>
        <v>0</v>
      </c>
      <c r="H433" s="251">
        <f t="shared" si="166"/>
        <v>0</v>
      </c>
      <c r="I433" s="251">
        <f t="shared" si="167"/>
        <v>0</v>
      </c>
    </row>
    <row r="434" spans="1:10" x14ac:dyDescent="0.25">
      <c r="A434" s="282"/>
      <c r="B434" s="319" t="s">
        <v>430</v>
      </c>
      <c r="C434" s="320"/>
      <c r="D434" s="270"/>
      <c r="E434" s="270"/>
      <c r="F434" s="270"/>
      <c r="G434" s="270">
        <f>D434-E434</f>
        <v>0</v>
      </c>
      <c r="H434" s="251">
        <f t="shared" si="166"/>
        <v>0</v>
      </c>
      <c r="I434" s="251">
        <f t="shared" si="167"/>
        <v>0</v>
      </c>
    </row>
    <row r="435" spans="1:10" ht="140.25" x14ac:dyDescent="0.25">
      <c r="A435" s="254"/>
      <c r="B435" s="356" t="s">
        <v>594</v>
      </c>
      <c r="C435" s="256" t="s">
        <v>595</v>
      </c>
      <c r="D435" s="357">
        <v>874267.57</v>
      </c>
      <c r="E435" s="275">
        <f>'Проверочная  таблица'!JM38</f>
        <v>874267.56999999983</v>
      </c>
      <c r="F435" s="275">
        <f>'Проверочная  таблица'!JP38</f>
        <v>874267.58</v>
      </c>
      <c r="G435" s="259">
        <f>D435-E435</f>
        <v>0</v>
      </c>
      <c r="H435" s="251">
        <f t="shared" si="166"/>
        <v>1</v>
      </c>
      <c r="I435" s="251">
        <f t="shared" si="167"/>
        <v>0</v>
      </c>
      <c r="J435" s="317">
        <f>D435+D438</f>
        <v>3362567.57</v>
      </c>
    </row>
    <row r="436" spans="1:10" x14ac:dyDescent="0.25">
      <c r="A436" s="312"/>
      <c r="B436" s="313" t="s">
        <v>429</v>
      </c>
      <c r="C436" s="349"/>
      <c r="D436" s="315">
        <f>D435</f>
        <v>874267.57</v>
      </c>
      <c r="E436" s="315">
        <f>E435</f>
        <v>874267.56999999983</v>
      </c>
      <c r="F436" s="315">
        <f>F435</f>
        <v>874267.58</v>
      </c>
      <c r="G436" s="315">
        <f>G435</f>
        <v>0</v>
      </c>
      <c r="H436" s="251">
        <f t="shared" si="166"/>
        <v>1</v>
      </c>
      <c r="I436" s="251">
        <f t="shared" si="167"/>
        <v>0</v>
      </c>
    </row>
    <row r="437" spans="1:10" x14ac:dyDescent="0.25">
      <c r="A437" s="312"/>
      <c r="B437" s="313" t="s">
        <v>430</v>
      </c>
      <c r="C437" s="314"/>
      <c r="D437" s="315"/>
      <c r="E437" s="315"/>
      <c r="F437" s="315"/>
      <c r="G437" s="315">
        <f>D437-E437</f>
        <v>0</v>
      </c>
      <c r="H437" s="251">
        <f t="shared" si="166"/>
        <v>0</v>
      </c>
      <c r="I437" s="251">
        <f t="shared" si="167"/>
        <v>0</v>
      </c>
    </row>
    <row r="438" spans="1:10" x14ac:dyDescent="0.25">
      <c r="A438" s="282"/>
      <c r="B438" s="266" t="s">
        <v>398</v>
      </c>
      <c r="C438" s="283" t="s">
        <v>595</v>
      </c>
      <c r="D438" s="318">
        <v>2488300</v>
      </c>
      <c r="E438" s="269">
        <f>'Проверочная  таблица'!JN38</f>
        <v>2488300</v>
      </c>
      <c r="F438" s="269">
        <f>'Проверочная  таблица'!JQ38</f>
        <v>2488299.9900000002</v>
      </c>
      <c r="G438" s="270">
        <f>D438-E438</f>
        <v>0</v>
      </c>
      <c r="H438" s="251">
        <f t="shared" si="166"/>
        <v>0</v>
      </c>
      <c r="I438" s="251">
        <f t="shared" si="167"/>
        <v>0</v>
      </c>
      <c r="J438" s="317"/>
    </row>
    <row r="439" spans="1:10" x14ac:dyDescent="0.25">
      <c r="A439" s="282"/>
      <c r="B439" s="319" t="s">
        <v>429</v>
      </c>
      <c r="C439" s="320"/>
      <c r="D439" s="270">
        <f>D438</f>
        <v>2488300</v>
      </c>
      <c r="E439" s="270">
        <f>E438</f>
        <v>2488300</v>
      </c>
      <c r="F439" s="270">
        <f>F438</f>
        <v>2488299.9900000002</v>
      </c>
      <c r="G439" s="270">
        <f>G438</f>
        <v>0</v>
      </c>
      <c r="H439" s="251">
        <f t="shared" si="166"/>
        <v>0</v>
      </c>
      <c r="I439" s="251">
        <f t="shared" si="167"/>
        <v>0</v>
      </c>
    </row>
    <row r="440" spans="1:10" x14ac:dyDescent="0.25">
      <c r="A440" s="282"/>
      <c r="B440" s="319" t="s">
        <v>430</v>
      </c>
      <c r="C440" s="320"/>
      <c r="D440" s="270"/>
      <c r="E440" s="270"/>
      <c r="F440" s="270"/>
      <c r="G440" s="270">
        <f>D440-E440</f>
        <v>0</v>
      </c>
      <c r="H440" s="251">
        <f t="shared" si="166"/>
        <v>0</v>
      </c>
      <c r="I440" s="251">
        <f t="shared" si="167"/>
        <v>0</v>
      </c>
    </row>
    <row r="441" spans="1:10" ht="114.75" hidden="1" x14ac:dyDescent="0.25">
      <c r="A441" s="310"/>
      <c r="B441" s="356" t="s">
        <v>596</v>
      </c>
      <c r="C441" s="256" t="s">
        <v>597</v>
      </c>
      <c r="D441" s="357"/>
      <c r="E441" s="275">
        <f>'Проверочная  таблица'!JS39</f>
        <v>0</v>
      </c>
      <c r="F441" s="275">
        <f>'Проверочная  таблица'!JV39</f>
        <v>0</v>
      </c>
      <c r="G441" s="259">
        <f>D441-E441</f>
        <v>0</v>
      </c>
      <c r="H441" s="251">
        <f t="shared" si="166"/>
        <v>0</v>
      </c>
      <c r="I441" s="251">
        <f t="shared" si="167"/>
        <v>0</v>
      </c>
      <c r="J441" s="317">
        <f>D441+D444</f>
        <v>0</v>
      </c>
    </row>
    <row r="442" spans="1:10" hidden="1" x14ac:dyDescent="0.25">
      <c r="A442" s="312"/>
      <c r="B442" s="313" t="s">
        <v>429</v>
      </c>
      <c r="C442" s="349"/>
      <c r="D442" s="315">
        <f>D441</f>
        <v>0</v>
      </c>
      <c r="E442" s="315">
        <f>E441</f>
        <v>0</v>
      </c>
      <c r="F442" s="315">
        <f>F441</f>
        <v>0</v>
      </c>
      <c r="G442" s="315">
        <f>G441</f>
        <v>0</v>
      </c>
      <c r="H442" s="251">
        <f t="shared" si="166"/>
        <v>0</v>
      </c>
      <c r="I442" s="251">
        <f t="shared" si="167"/>
        <v>0</v>
      </c>
    </row>
    <row r="443" spans="1:10" hidden="1" x14ac:dyDescent="0.25">
      <c r="A443" s="312"/>
      <c r="B443" s="313" t="s">
        <v>430</v>
      </c>
      <c r="C443" s="314"/>
      <c r="D443" s="315"/>
      <c r="E443" s="315"/>
      <c r="F443" s="315"/>
      <c r="G443" s="315">
        <f>D443-E443</f>
        <v>0</v>
      </c>
      <c r="H443" s="251">
        <f t="shared" si="166"/>
        <v>0</v>
      </c>
      <c r="I443" s="251">
        <f t="shared" si="167"/>
        <v>0</v>
      </c>
      <c r="J443" s="317"/>
    </row>
    <row r="444" spans="1:10" hidden="1" x14ac:dyDescent="0.25">
      <c r="A444" s="282"/>
      <c r="B444" s="266" t="s">
        <v>398</v>
      </c>
      <c r="C444" s="283" t="s">
        <v>597</v>
      </c>
      <c r="D444" s="318"/>
      <c r="E444" s="269">
        <f>'Проверочная  таблица'!JT39</f>
        <v>36716.63999999997</v>
      </c>
      <c r="F444" s="269">
        <f>'Проверочная  таблица'!JW39</f>
        <v>0</v>
      </c>
      <c r="G444" s="270">
        <f>D444-E444</f>
        <v>-36716.63999999997</v>
      </c>
      <c r="H444" s="251">
        <f t="shared" si="166"/>
        <v>0</v>
      </c>
      <c r="I444" s="251">
        <f t="shared" si="167"/>
        <v>1</v>
      </c>
    </row>
    <row r="445" spans="1:10" hidden="1" x14ac:dyDescent="0.25">
      <c r="A445" s="282"/>
      <c r="B445" s="319" t="s">
        <v>429</v>
      </c>
      <c r="C445" s="320"/>
      <c r="D445" s="270">
        <f>D444</f>
        <v>0</v>
      </c>
      <c r="E445" s="270">
        <f>E444</f>
        <v>36716.63999999997</v>
      </c>
      <c r="F445" s="270">
        <f>F444</f>
        <v>0</v>
      </c>
      <c r="G445" s="270">
        <f>G444</f>
        <v>-36716.63999999997</v>
      </c>
      <c r="H445" s="251">
        <f t="shared" si="166"/>
        <v>0</v>
      </c>
      <c r="I445" s="251">
        <f t="shared" si="167"/>
        <v>1</v>
      </c>
    </row>
    <row r="446" spans="1:10" hidden="1" x14ac:dyDescent="0.25">
      <c r="A446" s="282"/>
      <c r="B446" s="319" t="s">
        <v>430</v>
      </c>
      <c r="C446" s="320"/>
      <c r="D446" s="270"/>
      <c r="E446" s="270"/>
      <c r="F446" s="270"/>
      <c r="G446" s="270">
        <f>D446-E446</f>
        <v>0</v>
      </c>
      <c r="H446" s="251">
        <f t="shared" si="166"/>
        <v>0</v>
      </c>
      <c r="I446" s="251">
        <f t="shared" si="167"/>
        <v>0</v>
      </c>
    </row>
    <row r="447" spans="1:10" ht="153" x14ac:dyDescent="0.25">
      <c r="A447" s="254"/>
      <c r="B447" s="356" t="s">
        <v>598</v>
      </c>
      <c r="C447" s="256" t="s">
        <v>599</v>
      </c>
      <c r="D447" s="357">
        <v>1294132.43</v>
      </c>
      <c r="E447" s="275">
        <f>'Проверочная  таблица'!NH39</f>
        <v>1294132.43</v>
      </c>
      <c r="F447" s="275">
        <f>'Проверочная  таблица'!NP39</f>
        <v>993108.16999999981</v>
      </c>
      <c r="G447" s="259">
        <f>D447-E447</f>
        <v>0</v>
      </c>
      <c r="H447" s="251">
        <f t="shared" si="166"/>
        <v>0</v>
      </c>
      <c r="I447" s="251">
        <f t="shared" si="167"/>
        <v>0</v>
      </c>
      <c r="J447" s="317">
        <f>D447+D451</f>
        <v>4977432.43</v>
      </c>
    </row>
    <row r="448" spans="1:10" x14ac:dyDescent="0.25">
      <c r="A448" s="312"/>
      <c r="B448" s="313" t="s">
        <v>429</v>
      </c>
      <c r="C448" s="349"/>
      <c r="D448" s="315"/>
      <c r="E448" s="315"/>
      <c r="F448" s="315"/>
      <c r="G448" s="315">
        <f>G447</f>
        <v>0</v>
      </c>
      <c r="H448" s="251">
        <f t="shared" si="166"/>
        <v>0</v>
      </c>
      <c r="I448" s="251">
        <f t="shared" si="167"/>
        <v>0</v>
      </c>
    </row>
    <row r="449" spans="1:9" x14ac:dyDescent="0.25">
      <c r="A449" s="312"/>
      <c r="B449" s="313" t="s">
        <v>430</v>
      </c>
      <c r="C449" s="314"/>
      <c r="D449" s="315"/>
      <c r="E449" s="315"/>
      <c r="F449" s="315"/>
      <c r="G449" s="315">
        <f>D449-E449</f>
        <v>0</v>
      </c>
      <c r="H449" s="251">
        <f t="shared" si="166"/>
        <v>0</v>
      </c>
      <c r="I449" s="251">
        <f t="shared" si="167"/>
        <v>0</v>
      </c>
    </row>
    <row r="450" spans="1:9" x14ac:dyDescent="0.25">
      <c r="A450" s="312"/>
      <c r="B450" s="313" t="s">
        <v>447</v>
      </c>
      <c r="C450" s="314"/>
      <c r="D450" s="315">
        <f>D447</f>
        <v>1294132.43</v>
      </c>
      <c r="E450" s="315">
        <f t="shared" ref="E450:F450" si="168">E447</f>
        <v>1294132.43</v>
      </c>
      <c r="F450" s="315">
        <f t="shared" si="168"/>
        <v>993108.16999999981</v>
      </c>
      <c r="G450" s="315">
        <f>D450-E450</f>
        <v>0</v>
      </c>
      <c r="H450" s="251">
        <f t="shared" si="166"/>
        <v>0</v>
      </c>
      <c r="I450" s="251">
        <f t="shared" si="167"/>
        <v>0</v>
      </c>
    </row>
    <row r="451" spans="1:9" x14ac:dyDescent="0.25">
      <c r="A451" s="282"/>
      <c r="B451" s="266" t="s">
        <v>398</v>
      </c>
      <c r="C451" s="283" t="s">
        <v>599</v>
      </c>
      <c r="D451" s="318">
        <v>3683300</v>
      </c>
      <c r="E451" s="269">
        <f>'Проверочная  таблица'!NI39</f>
        <v>168192400</v>
      </c>
      <c r="F451" s="269">
        <f>'Проверочная  таблица'!NQ39</f>
        <v>2826538.5900000003</v>
      </c>
      <c r="G451" s="270">
        <f>D451-E451</f>
        <v>-164509100</v>
      </c>
      <c r="H451" s="251">
        <f t="shared" si="166"/>
        <v>0</v>
      </c>
      <c r="I451" s="251">
        <f t="shared" si="167"/>
        <v>1</v>
      </c>
    </row>
    <row r="452" spans="1:9" x14ac:dyDescent="0.25">
      <c r="A452" s="282"/>
      <c r="B452" s="319" t="s">
        <v>429</v>
      </c>
      <c r="C452" s="320"/>
      <c r="D452" s="270"/>
      <c r="E452" s="270"/>
      <c r="F452" s="270"/>
      <c r="G452" s="270">
        <f>G451</f>
        <v>-164509100</v>
      </c>
      <c r="H452" s="251">
        <f t="shared" si="166"/>
        <v>0</v>
      </c>
      <c r="I452" s="251">
        <f t="shared" si="167"/>
        <v>1</v>
      </c>
    </row>
    <row r="453" spans="1:9" x14ac:dyDescent="0.25">
      <c r="A453" s="282"/>
      <c r="B453" s="319" t="s">
        <v>430</v>
      </c>
      <c r="C453" s="320"/>
      <c r="D453" s="270"/>
      <c r="E453" s="270"/>
      <c r="F453" s="270"/>
      <c r="G453" s="270">
        <f>D453-E453</f>
        <v>0</v>
      </c>
      <c r="H453" s="251">
        <f t="shared" si="166"/>
        <v>0</v>
      </c>
      <c r="I453" s="251">
        <f t="shared" si="167"/>
        <v>0</v>
      </c>
    </row>
    <row r="454" spans="1:9" x14ac:dyDescent="0.25">
      <c r="A454" s="282"/>
      <c r="B454" s="319" t="s">
        <v>447</v>
      </c>
      <c r="C454" s="320"/>
      <c r="D454" s="270">
        <f>D451</f>
        <v>3683300</v>
      </c>
      <c r="E454" s="270">
        <f t="shared" ref="E454:F454" si="169">E451</f>
        <v>168192400</v>
      </c>
      <c r="F454" s="270">
        <f t="shared" si="169"/>
        <v>2826538.5900000003</v>
      </c>
      <c r="G454" s="270">
        <f t="shared" ref="G454" si="170">D454-E454</f>
        <v>-164509100</v>
      </c>
      <c r="H454" s="251">
        <f t="shared" si="166"/>
        <v>0</v>
      </c>
      <c r="I454" s="251">
        <f t="shared" si="167"/>
        <v>1</v>
      </c>
    </row>
    <row r="455" spans="1:9" ht="140.25" x14ac:dyDescent="0.25">
      <c r="A455" s="254"/>
      <c r="B455" s="280" t="s">
        <v>431</v>
      </c>
      <c r="C455" s="256" t="s">
        <v>432</v>
      </c>
      <c r="D455" s="279">
        <v>6726687.7300000004</v>
      </c>
      <c r="E455" s="258">
        <f>D455</f>
        <v>6726687.7300000004</v>
      </c>
      <c r="F455" s="311">
        <v>4965519.3899999997</v>
      </c>
      <c r="G455" s="259">
        <f>D455-E455</f>
        <v>0</v>
      </c>
      <c r="H455" s="251">
        <f t="shared" si="166"/>
        <v>0</v>
      </c>
      <c r="I455" s="251">
        <f t="shared" si="167"/>
        <v>0</v>
      </c>
    </row>
    <row r="456" spans="1:9" x14ac:dyDescent="0.25">
      <c r="A456" s="312"/>
      <c r="B456" s="313" t="s">
        <v>429</v>
      </c>
      <c r="C456" s="314"/>
      <c r="D456" s="315">
        <f>D455-D457</f>
        <v>6726687.7300000004</v>
      </c>
      <c r="E456" s="315">
        <f>E455-E457</f>
        <v>6726687.7300000004</v>
      </c>
      <c r="F456" s="315">
        <f>F455-F457</f>
        <v>4965519.3899999997</v>
      </c>
      <c r="G456" s="315">
        <f>D456-E456</f>
        <v>0</v>
      </c>
      <c r="H456" s="251">
        <f t="shared" si="166"/>
        <v>0</v>
      </c>
      <c r="I456" s="251">
        <f t="shared" si="167"/>
        <v>0</v>
      </c>
    </row>
    <row r="457" spans="1:9" x14ac:dyDescent="0.25">
      <c r="A457" s="312"/>
      <c r="B457" s="313" t="s">
        <v>430</v>
      </c>
      <c r="C457" s="314"/>
      <c r="D457" s="340"/>
      <c r="E457" s="316">
        <f>D457</f>
        <v>0</v>
      </c>
      <c r="F457" s="340"/>
      <c r="G457" s="315">
        <f>D457-E457</f>
        <v>0</v>
      </c>
      <c r="H457" s="251">
        <f t="shared" si="166"/>
        <v>0</v>
      </c>
      <c r="I457" s="251">
        <f t="shared" si="167"/>
        <v>0</v>
      </c>
    </row>
    <row r="458" spans="1:9" x14ac:dyDescent="0.25">
      <c r="A458" s="254"/>
      <c r="B458" s="341"/>
      <c r="C458" s="342"/>
      <c r="D458" s="343"/>
      <c r="E458" s="343"/>
      <c r="F458" s="343"/>
      <c r="G458" s="343"/>
      <c r="H458" s="251"/>
      <c r="I458" s="251"/>
    </row>
    <row r="459" spans="1:9" hidden="1" x14ac:dyDescent="0.25">
      <c r="A459" s="247">
        <v>1101</v>
      </c>
      <c r="B459" s="248" t="s">
        <v>600</v>
      </c>
      <c r="C459" s="276"/>
      <c r="D459" s="277">
        <f>D463</f>
        <v>0</v>
      </c>
      <c r="E459" s="277">
        <f t="shared" ref="E459:G461" si="171">E463</f>
        <v>0</v>
      </c>
      <c r="F459" s="277">
        <f t="shared" si="171"/>
        <v>0</v>
      </c>
      <c r="G459" s="277">
        <f t="shared" si="171"/>
        <v>0</v>
      </c>
      <c r="H459" s="251">
        <f t="shared" ref="H459:H465" si="172">IF(F459&gt;E459,1,0)</f>
        <v>0</v>
      </c>
      <c r="I459" s="251">
        <f t="shared" ref="I459:I517" si="173">IF(G459&lt;0,1,0)</f>
        <v>0</v>
      </c>
    </row>
    <row r="460" spans="1:9" hidden="1" x14ac:dyDescent="0.25">
      <c r="A460" s="306"/>
      <c r="B460" s="307" t="s">
        <v>429</v>
      </c>
      <c r="C460" s="308"/>
      <c r="D460" s="321">
        <f>D464</f>
        <v>0</v>
      </c>
      <c r="E460" s="321">
        <f t="shared" si="171"/>
        <v>0</v>
      </c>
      <c r="F460" s="321">
        <f t="shared" si="171"/>
        <v>0</v>
      </c>
      <c r="G460" s="321">
        <f t="shared" si="171"/>
        <v>0</v>
      </c>
      <c r="H460" s="251">
        <f t="shared" si="172"/>
        <v>0</v>
      </c>
      <c r="I460" s="251">
        <f t="shared" si="173"/>
        <v>0</v>
      </c>
    </row>
    <row r="461" spans="1:9" hidden="1" x14ac:dyDescent="0.25">
      <c r="A461" s="306"/>
      <c r="B461" s="307" t="s">
        <v>430</v>
      </c>
      <c r="C461" s="308"/>
      <c r="D461" s="321">
        <f>D465</f>
        <v>0</v>
      </c>
      <c r="E461" s="321">
        <f t="shared" si="171"/>
        <v>0</v>
      </c>
      <c r="F461" s="321">
        <f t="shared" si="171"/>
        <v>0</v>
      </c>
      <c r="G461" s="321">
        <f t="shared" si="171"/>
        <v>0</v>
      </c>
      <c r="H461" s="251">
        <f t="shared" si="172"/>
        <v>0</v>
      </c>
      <c r="I461" s="251">
        <f t="shared" si="173"/>
        <v>0</v>
      </c>
    </row>
    <row r="462" spans="1:9" hidden="1" x14ac:dyDescent="0.25">
      <c r="A462" s="254"/>
      <c r="B462" s="240" t="s">
        <v>376</v>
      </c>
      <c r="C462" s="278"/>
      <c r="D462" s="279"/>
      <c r="E462" s="275"/>
      <c r="F462" s="275"/>
      <c r="G462" s="259"/>
      <c r="H462" s="251">
        <f t="shared" si="172"/>
        <v>0</v>
      </c>
      <c r="I462" s="251">
        <f t="shared" si="173"/>
        <v>0</v>
      </c>
    </row>
    <row r="463" spans="1:9" ht="140.25" hidden="1" x14ac:dyDescent="0.25">
      <c r="A463" s="310"/>
      <c r="B463" s="280" t="s">
        <v>431</v>
      </c>
      <c r="C463" s="256" t="s">
        <v>432</v>
      </c>
      <c r="D463" s="279"/>
      <c r="E463" s="258">
        <f>D463</f>
        <v>0</v>
      </c>
      <c r="F463" s="311"/>
      <c r="G463" s="259">
        <f t="shared" ref="G463" si="174">D463-E463</f>
        <v>0</v>
      </c>
      <c r="H463" s="251">
        <f t="shared" si="172"/>
        <v>0</v>
      </c>
      <c r="I463" s="251">
        <f t="shared" si="173"/>
        <v>0</v>
      </c>
    </row>
    <row r="464" spans="1:9" hidden="1" x14ac:dyDescent="0.25">
      <c r="A464" s="312"/>
      <c r="B464" s="313" t="s">
        <v>429</v>
      </c>
      <c r="C464" s="314"/>
      <c r="D464" s="315">
        <f>D463</f>
        <v>0</v>
      </c>
      <c r="E464" s="315">
        <f t="shared" ref="E464:G464" si="175">E463</f>
        <v>0</v>
      </c>
      <c r="F464" s="315">
        <f t="shared" si="175"/>
        <v>0</v>
      </c>
      <c r="G464" s="315">
        <f t="shared" si="175"/>
        <v>0</v>
      </c>
      <c r="H464" s="251">
        <f t="shared" si="172"/>
        <v>0</v>
      </c>
      <c r="I464" s="251">
        <f t="shared" si="173"/>
        <v>0</v>
      </c>
    </row>
    <row r="465" spans="1:10" hidden="1" x14ac:dyDescent="0.25">
      <c r="A465" s="312"/>
      <c r="B465" s="313" t="s">
        <v>430</v>
      </c>
      <c r="C465" s="314"/>
      <c r="D465" s="316"/>
      <c r="E465" s="316"/>
      <c r="F465" s="316"/>
      <c r="G465" s="316"/>
      <c r="H465" s="251">
        <f t="shared" si="172"/>
        <v>0</v>
      </c>
      <c r="I465" s="251">
        <f t="shared" si="173"/>
        <v>0</v>
      </c>
    </row>
    <row r="466" spans="1:10" hidden="1" x14ac:dyDescent="0.25">
      <c r="A466" s="254"/>
      <c r="B466" s="280"/>
      <c r="C466" s="342"/>
      <c r="D466" s="279"/>
      <c r="E466" s="275"/>
      <c r="F466" s="275"/>
      <c r="G466" s="259"/>
      <c r="H466" s="251"/>
      <c r="I466" s="251">
        <f t="shared" si="173"/>
        <v>0</v>
      </c>
    </row>
    <row r="467" spans="1:10" x14ac:dyDescent="0.25">
      <c r="A467" s="247">
        <v>1102</v>
      </c>
      <c r="B467" s="248" t="s">
        <v>601</v>
      </c>
      <c r="C467" s="276"/>
      <c r="D467" s="277">
        <f t="shared" ref="D467:G469" si="176">D483+D471+D474+D486+D477+D480</f>
        <v>5400000</v>
      </c>
      <c r="E467" s="277">
        <f t="shared" si="176"/>
        <v>5400000</v>
      </c>
      <c r="F467" s="277">
        <f t="shared" si="176"/>
        <v>3217758.89</v>
      </c>
      <c r="G467" s="277">
        <f t="shared" si="176"/>
        <v>0</v>
      </c>
      <c r="H467" s="251">
        <f t="shared" ref="H467:H517" si="177">IF(F467&gt;E467,1,0)</f>
        <v>0</v>
      </c>
      <c r="I467" s="251">
        <f t="shared" si="173"/>
        <v>0</v>
      </c>
    </row>
    <row r="468" spans="1:10" x14ac:dyDescent="0.25">
      <c r="A468" s="306"/>
      <c r="B468" s="307" t="s">
        <v>429</v>
      </c>
      <c r="C468" s="308"/>
      <c r="D468" s="321">
        <f t="shared" si="176"/>
        <v>5400000</v>
      </c>
      <c r="E468" s="321">
        <f t="shared" si="176"/>
        <v>5400000</v>
      </c>
      <c r="F468" s="321">
        <f t="shared" si="176"/>
        <v>3217758.89</v>
      </c>
      <c r="G468" s="321">
        <f t="shared" si="176"/>
        <v>0</v>
      </c>
      <c r="H468" s="251">
        <f t="shared" si="177"/>
        <v>0</v>
      </c>
      <c r="I468" s="251">
        <f t="shared" si="173"/>
        <v>0</v>
      </c>
    </row>
    <row r="469" spans="1:10" x14ac:dyDescent="0.25">
      <c r="A469" s="306"/>
      <c r="B469" s="307" t="s">
        <v>430</v>
      </c>
      <c r="C469" s="308"/>
      <c r="D469" s="321">
        <f t="shared" si="176"/>
        <v>0</v>
      </c>
      <c r="E469" s="321">
        <f t="shared" si="176"/>
        <v>0</v>
      </c>
      <c r="F469" s="321">
        <f t="shared" si="176"/>
        <v>0</v>
      </c>
      <c r="G469" s="321">
        <f t="shared" si="176"/>
        <v>0</v>
      </c>
      <c r="H469" s="251">
        <f t="shared" si="177"/>
        <v>0</v>
      </c>
      <c r="I469" s="251">
        <f t="shared" si="173"/>
        <v>0</v>
      </c>
    </row>
    <row r="470" spans="1:10" x14ac:dyDescent="0.25">
      <c r="A470" s="254"/>
      <c r="B470" s="240" t="s">
        <v>376</v>
      </c>
      <c r="C470" s="278"/>
      <c r="D470" s="279"/>
      <c r="E470" s="275"/>
      <c r="F470" s="275"/>
      <c r="G470" s="259"/>
      <c r="H470" s="251">
        <f t="shared" si="177"/>
        <v>0</v>
      </c>
      <c r="I470" s="251">
        <f t="shared" si="173"/>
        <v>0</v>
      </c>
    </row>
    <row r="471" spans="1:10" ht="216.75" hidden="1" x14ac:dyDescent="0.25">
      <c r="A471" s="310"/>
      <c r="B471" s="255" t="s">
        <v>602</v>
      </c>
      <c r="C471" s="256" t="s">
        <v>603</v>
      </c>
      <c r="D471" s="279"/>
      <c r="E471" s="275">
        <f>'Проверочная  таблица'!EI38</f>
        <v>0</v>
      </c>
      <c r="F471" s="275">
        <f>'Проверочная  таблица'!EL38</f>
        <v>0</v>
      </c>
      <c r="G471" s="259">
        <f>D471-E471</f>
        <v>0</v>
      </c>
      <c r="H471" s="251">
        <f t="shared" si="177"/>
        <v>0</v>
      </c>
      <c r="I471" s="251">
        <f t="shared" si="173"/>
        <v>0</v>
      </c>
      <c r="J471" s="317">
        <f>D471+D474</f>
        <v>0</v>
      </c>
    </row>
    <row r="472" spans="1:10" hidden="1" x14ac:dyDescent="0.25">
      <c r="A472" s="312"/>
      <c r="B472" s="313" t="s">
        <v>429</v>
      </c>
      <c r="C472" s="314"/>
      <c r="D472" s="315">
        <f>D471</f>
        <v>0</v>
      </c>
      <c r="E472" s="315">
        <f>E471</f>
        <v>0</v>
      </c>
      <c r="F472" s="315">
        <f t="shared" ref="F472:G472" si="178">F471</f>
        <v>0</v>
      </c>
      <c r="G472" s="315">
        <f t="shared" si="178"/>
        <v>0</v>
      </c>
      <c r="H472" s="251">
        <f t="shared" si="177"/>
        <v>0</v>
      </c>
      <c r="I472" s="251">
        <f t="shared" si="173"/>
        <v>0</v>
      </c>
    </row>
    <row r="473" spans="1:10" hidden="1" x14ac:dyDescent="0.25">
      <c r="A473" s="312"/>
      <c r="B473" s="313" t="s">
        <v>430</v>
      </c>
      <c r="C473" s="314"/>
      <c r="D473" s="315"/>
      <c r="E473" s="315"/>
      <c r="F473" s="315"/>
      <c r="G473" s="315"/>
      <c r="H473" s="251">
        <f t="shared" si="177"/>
        <v>0</v>
      </c>
      <c r="I473" s="251">
        <f t="shared" si="173"/>
        <v>0</v>
      </c>
      <c r="J473" s="317"/>
    </row>
    <row r="474" spans="1:10" hidden="1" x14ac:dyDescent="0.25">
      <c r="A474" s="282"/>
      <c r="B474" s="266" t="s">
        <v>398</v>
      </c>
      <c r="C474" s="283" t="s">
        <v>603</v>
      </c>
      <c r="D474" s="318"/>
      <c r="E474" s="269">
        <f>'Проверочная  таблица'!EJ38</f>
        <v>0</v>
      </c>
      <c r="F474" s="269">
        <f>'Проверочная  таблица'!EM38</f>
        <v>0</v>
      </c>
      <c r="G474" s="270">
        <f>D474-E474</f>
        <v>0</v>
      </c>
      <c r="H474" s="251">
        <f t="shared" si="177"/>
        <v>0</v>
      </c>
      <c r="I474" s="251">
        <f t="shared" si="173"/>
        <v>0</v>
      </c>
    </row>
    <row r="475" spans="1:10" hidden="1" x14ac:dyDescent="0.25">
      <c r="A475" s="282"/>
      <c r="B475" s="319" t="s">
        <v>429</v>
      </c>
      <c r="C475" s="320"/>
      <c r="D475" s="270">
        <f>D474</f>
        <v>0</v>
      </c>
      <c r="E475" s="270">
        <f>E474</f>
        <v>0</v>
      </c>
      <c r="F475" s="270">
        <f t="shared" ref="F475:G475" si="179">F474</f>
        <v>0</v>
      </c>
      <c r="G475" s="270">
        <f t="shared" si="179"/>
        <v>0</v>
      </c>
      <c r="H475" s="251">
        <f t="shared" si="177"/>
        <v>0</v>
      </c>
      <c r="I475" s="251">
        <f t="shared" si="173"/>
        <v>0</v>
      </c>
    </row>
    <row r="476" spans="1:10" hidden="1" x14ac:dyDescent="0.25">
      <c r="A476" s="282"/>
      <c r="B476" s="319" t="s">
        <v>430</v>
      </c>
      <c r="C476" s="320"/>
      <c r="D476" s="270"/>
      <c r="E476" s="270"/>
      <c r="F476" s="270"/>
      <c r="G476" s="270"/>
      <c r="H476" s="251">
        <f t="shared" si="177"/>
        <v>0</v>
      </c>
      <c r="I476" s="251">
        <f t="shared" si="173"/>
        <v>0</v>
      </c>
    </row>
    <row r="477" spans="1:10" ht="89.25" hidden="1" x14ac:dyDescent="0.25">
      <c r="A477" s="310"/>
      <c r="B477" s="356" t="s">
        <v>604</v>
      </c>
      <c r="C477" s="256" t="s">
        <v>605</v>
      </c>
      <c r="D477" s="357"/>
      <c r="E477" s="275">
        <f>'Проверочная  таблица'!SS38</f>
        <v>0</v>
      </c>
      <c r="F477" s="275">
        <f>'Проверочная  таблица'!SV38</f>
        <v>0</v>
      </c>
      <c r="G477" s="259">
        <f t="shared" ref="G477:G482" si="180">D477-E477</f>
        <v>0</v>
      </c>
      <c r="H477" s="251">
        <f t="shared" si="177"/>
        <v>0</v>
      </c>
      <c r="I477" s="251">
        <f t="shared" si="173"/>
        <v>0</v>
      </c>
      <c r="J477" s="317">
        <f>D477+D480</f>
        <v>0</v>
      </c>
    </row>
    <row r="478" spans="1:10" hidden="1" x14ac:dyDescent="0.25">
      <c r="A478" s="312"/>
      <c r="B478" s="313" t="s">
        <v>429</v>
      </c>
      <c r="C478" s="349"/>
      <c r="D478" s="315">
        <f>D477</f>
        <v>0</v>
      </c>
      <c r="E478" s="315">
        <f t="shared" ref="E478:F478" si="181">E477</f>
        <v>0</v>
      </c>
      <c r="F478" s="315">
        <f t="shared" si="181"/>
        <v>0</v>
      </c>
      <c r="G478" s="315">
        <f t="shared" si="180"/>
        <v>0</v>
      </c>
      <c r="H478" s="251">
        <f t="shared" si="177"/>
        <v>0</v>
      </c>
      <c r="I478" s="251">
        <f t="shared" si="173"/>
        <v>0</v>
      </c>
    </row>
    <row r="479" spans="1:10" hidden="1" x14ac:dyDescent="0.25">
      <c r="A479" s="312"/>
      <c r="B479" s="313" t="s">
        <v>430</v>
      </c>
      <c r="C479" s="314"/>
      <c r="D479" s="315"/>
      <c r="E479" s="315"/>
      <c r="F479" s="315"/>
      <c r="G479" s="315">
        <f t="shared" si="180"/>
        <v>0</v>
      </c>
      <c r="H479" s="251">
        <f t="shared" si="177"/>
        <v>0</v>
      </c>
      <c r="I479" s="251">
        <f t="shared" si="173"/>
        <v>0</v>
      </c>
      <c r="J479" s="317"/>
    </row>
    <row r="480" spans="1:10" hidden="1" x14ac:dyDescent="0.25">
      <c r="A480" s="282"/>
      <c r="B480" s="266" t="s">
        <v>398</v>
      </c>
      <c r="C480" s="283" t="s">
        <v>605</v>
      </c>
      <c r="D480" s="318"/>
      <c r="E480" s="269">
        <f>'Проверочная  таблица'!ST38</f>
        <v>0</v>
      </c>
      <c r="F480" s="269">
        <f>'Проверочная  таблица'!SW38</f>
        <v>0</v>
      </c>
      <c r="G480" s="270">
        <f t="shared" si="180"/>
        <v>0</v>
      </c>
      <c r="H480" s="251">
        <f t="shared" si="177"/>
        <v>0</v>
      </c>
      <c r="I480" s="251">
        <f t="shared" si="173"/>
        <v>0</v>
      </c>
    </row>
    <row r="481" spans="1:10" hidden="1" x14ac:dyDescent="0.25">
      <c r="A481" s="282"/>
      <c r="B481" s="319" t="s">
        <v>429</v>
      </c>
      <c r="C481" s="320"/>
      <c r="D481" s="270">
        <f>D480</f>
        <v>0</v>
      </c>
      <c r="E481" s="270">
        <f t="shared" ref="E481:F481" si="182">E480</f>
        <v>0</v>
      </c>
      <c r="F481" s="270">
        <f t="shared" si="182"/>
        <v>0</v>
      </c>
      <c r="G481" s="270">
        <f t="shared" si="180"/>
        <v>0</v>
      </c>
      <c r="H481" s="251">
        <f t="shared" si="177"/>
        <v>0</v>
      </c>
      <c r="I481" s="251">
        <f t="shared" si="173"/>
        <v>0</v>
      </c>
    </row>
    <row r="482" spans="1:10" hidden="1" x14ac:dyDescent="0.25">
      <c r="A482" s="282"/>
      <c r="B482" s="319" t="s">
        <v>430</v>
      </c>
      <c r="C482" s="320"/>
      <c r="D482" s="270"/>
      <c r="E482" s="270"/>
      <c r="F482" s="270"/>
      <c r="G482" s="270">
        <f t="shared" si="180"/>
        <v>0</v>
      </c>
      <c r="H482" s="251">
        <f t="shared" si="177"/>
        <v>0</v>
      </c>
      <c r="I482" s="251">
        <f t="shared" si="173"/>
        <v>0</v>
      </c>
    </row>
    <row r="483" spans="1:10" ht="153" x14ac:dyDescent="0.25">
      <c r="A483" s="254"/>
      <c r="B483" s="280" t="s">
        <v>606</v>
      </c>
      <c r="C483" s="256" t="s">
        <v>607</v>
      </c>
      <c r="D483" s="279">
        <v>5400000</v>
      </c>
      <c r="E483" s="275">
        <f>'Прочая  субсидия_МР  и  ГО'!F43</f>
        <v>5400000</v>
      </c>
      <c r="F483" s="275">
        <f>'Прочая  субсидия_МР  и  ГО'!G43</f>
        <v>3217758.89</v>
      </c>
      <c r="G483" s="259">
        <f>D483-E483</f>
        <v>0</v>
      </c>
      <c r="H483" s="251">
        <f t="shared" si="177"/>
        <v>0</v>
      </c>
      <c r="I483" s="251">
        <f t="shared" si="173"/>
        <v>0</v>
      </c>
    </row>
    <row r="484" spans="1:10" x14ac:dyDescent="0.25">
      <c r="A484" s="312"/>
      <c r="B484" s="313" t="s">
        <v>429</v>
      </c>
      <c r="C484" s="314"/>
      <c r="D484" s="315">
        <f>D483</f>
        <v>5400000</v>
      </c>
      <c r="E484" s="315">
        <f>E483</f>
        <v>5400000</v>
      </c>
      <c r="F484" s="315">
        <f>F483</f>
        <v>3217758.89</v>
      </c>
      <c r="G484" s="315">
        <f>D484-E484</f>
        <v>0</v>
      </c>
      <c r="H484" s="251">
        <f t="shared" si="177"/>
        <v>0</v>
      </c>
      <c r="I484" s="251">
        <f t="shared" si="173"/>
        <v>0</v>
      </c>
    </row>
    <row r="485" spans="1:10" x14ac:dyDescent="0.25">
      <c r="A485" s="312"/>
      <c r="B485" s="313" t="s">
        <v>430</v>
      </c>
      <c r="C485" s="314"/>
      <c r="D485" s="315"/>
      <c r="E485" s="315"/>
      <c r="F485" s="315"/>
      <c r="G485" s="315">
        <f>D485-E485</f>
        <v>0</v>
      </c>
      <c r="H485" s="251">
        <f t="shared" si="177"/>
        <v>0</v>
      </c>
      <c r="I485" s="251">
        <f t="shared" si="173"/>
        <v>0</v>
      </c>
    </row>
    <row r="486" spans="1:10" ht="140.25" hidden="1" x14ac:dyDescent="0.25">
      <c r="A486" s="310"/>
      <c r="B486" s="280" t="s">
        <v>431</v>
      </c>
      <c r="C486" s="256" t="s">
        <v>432</v>
      </c>
      <c r="D486" s="279"/>
      <c r="E486" s="258">
        <f>D486</f>
        <v>0</v>
      </c>
      <c r="F486" s="311"/>
      <c r="G486" s="259">
        <f t="shared" ref="G486:G488" si="183">D486-E486</f>
        <v>0</v>
      </c>
      <c r="H486" s="251">
        <f t="shared" si="177"/>
        <v>0</v>
      </c>
      <c r="I486" s="251">
        <f t="shared" si="173"/>
        <v>0</v>
      </c>
    </row>
    <row r="487" spans="1:10" hidden="1" x14ac:dyDescent="0.25">
      <c r="A487" s="312"/>
      <c r="B487" s="313" t="s">
        <v>429</v>
      </c>
      <c r="C487" s="314"/>
      <c r="D487" s="315">
        <f>D486-D488</f>
        <v>0</v>
      </c>
      <c r="E487" s="315">
        <f t="shared" ref="E487:F487" si="184">E486-E488</f>
        <v>0</v>
      </c>
      <c r="F487" s="315">
        <f t="shared" si="184"/>
        <v>0</v>
      </c>
      <c r="G487" s="315">
        <f t="shared" si="183"/>
        <v>0</v>
      </c>
      <c r="H487" s="251">
        <f t="shared" si="177"/>
        <v>0</v>
      </c>
      <c r="I487" s="251">
        <f t="shared" si="173"/>
        <v>0</v>
      </c>
    </row>
    <row r="488" spans="1:10" hidden="1" x14ac:dyDescent="0.25">
      <c r="A488" s="312"/>
      <c r="B488" s="313" t="s">
        <v>430</v>
      </c>
      <c r="C488" s="314"/>
      <c r="D488" s="340"/>
      <c r="E488" s="316">
        <f>D488</f>
        <v>0</v>
      </c>
      <c r="F488" s="340"/>
      <c r="G488" s="315">
        <f t="shared" si="183"/>
        <v>0</v>
      </c>
      <c r="H488" s="251">
        <f t="shared" si="177"/>
        <v>0</v>
      </c>
      <c r="I488" s="251">
        <f t="shared" si="173"/>
        <v>0</v>
      </c>
    </row>
    <row r="489" spans="1:10" x14ac:dyDescent="0.25">
      <c r="A489" s="254"/>
      <c r="B489" s="341"/>
      <c r="C489" s="342"/>
      <c r="D489" s="343"/>
      <c r="E489" s="343"/>
      <c r="F489" s="343"/>
      <c r="G489" s="343"/>
      <c r="H489" s="251"/>
      <c r="I489" s="251"/>
      <c r="J489" s="317"/>
    </row>
    <row r="490" spans="1:10" x14ac:dyDescent="0.25">
      <c r="A490" s="247">
        <v>1103</v>
      </c>
      <c r="B490" s="248" t="s">
        <v>608</v>
      </c>
      <c r="C490" s="276"/>
      <c r="D490" s="277">
        <f>D494</f>
        <v>8500000</v>
      </c>
      <c r="E490" s="277">
        <f t="shared" ref="E490:G492" si="185">E494</f>
        <v>8500000</v>
      </c>
      <c r="F490" s="277">
        <f t="shared" si="185"/>
        <v>3686086.67</v>
      </c>
      <c r="G490" s="277">
        <f t="shared" si="185"/>
        <v>0</v>
      </c>
      <c r="H490" s="251">
        <f t="shared" ref="H490:H496" si="186">IF(F490&gt;E490,1,0)</f>
        <v>0</v>
      </c>
      <c r="I490" s="251">
        <f t="shared" ref="I490:I496" si="187">IF(G490&lt;0,1,0)</f>
        <v>0</v>
      </c>
      <c r="J490" s="317"/>
    </row>
    <row r="491" spans="1:10" x14ac:dyDescent="0.25">
      <c r="A491" s="306"/>
      <c r="B491" s="307" t="s">
        <v>429</v>
      </c>
      <c r="C491" s="308"/>
      <c r="D491" s="321">
        <f t="shared" ref="D491:D492" si="188">D495</f>
        <v>8500000</v>
      </c>
      <c r="E491" s="321">
        <f t="shared" si="185"/>
        <v>8500000</v>
      </c>
      <c r="F491" s="321">
        <f t="shared" si="185"/>
        <v>3686086.67</v>
      </c>
      <c r="G491" s="321">
        <f t="shared" si="185"/>
        <v>0</v>
      </c>
      <c r="H491" s="251">
        <f t="shared" si="186"/>
        <v>0</v>
      </c>
      <c r="I491" s="251">
        <f t="shared" si="187"/>
        <v>0</v>
      </c>
      <c r="J491" s="317"/>
    </row>
    <row r="492" spans="1:10" x14ac:dyDescent="0.25">
      <c r="A492" s="306"/>
      <c r="B492" s="307" t="s">
        <v>430</v>
      </c>
      <c r="C492" s="308"/>
      <c r="D492" s="321">
        <f t="shared" si="188"/>
        <v>0</v>
      </c>
      <c r="E492" s="321">
        <f t="shared" si="185"/>
        <v>0</v>
      </c>
      <c r="F492" s="321">
        <f t="shared" si="185"/>
        <v>0</v>
      </c>
      <c r="G492" s="321">
        <f t="shared" si="185"/>
        <v>0</v>
      </c>
      <c r="H492" s="251">
        <f t="shared" si="186"/>
        <v>0</v>
      </c>
      <c r="I492" s="251">
        <f t="shared" si="187"/>
        <v>0</v>
      </c>
      <c r="J492" s="317"/>
    </row>
    <row r="493" spans="1:10" x14ac:dyDescent="0.25">
      <c r="A493" s="254"/>
      <c r="B493" s="240" t="s">
        <v>376</v>
      </c>
      <c r="C493" s="278"/>
      <c r="D493" s="279"/>
      <c r="E493" s="275"/>
      <c r="F493" s="275"/>
      <c r="G493" s="259"/>
      <c r="H493" s="251">
        <f t="shared" si="186"/>
        <v>0</v>
      </c>
      <c r="I493" s="251">
        <f t="shared" si="187"/>
        <v>0</v>
      </c>
      <c r="J493" s="317"/>
    </row>
    <row r="494" spans="1:10" ht="153" x14ac:dyDescent="0.25">
      <c r="A494" s="254"/>
      <c r="B494" s="255" t="s">
        <v>609</v>
      </c>
      <c r="C494" s="256" t="s">
        <v>610</v>
      </c>
      <c r="D494" s="279">
        <v>8500000</v>
      </c>
      <c r="E494" s="275">
        <f>'Прочая  субсидия_МР  и  ГО'!H43</f>
        <v>8500000</v>
      </c>
      <c r="F494" s="275">
        <f>'Прочая  субсидия_МР  и  ГО'!I43</f>
        <v>3686086.67</v>
      </c>
      <c r="G494" s="259">
        <f t="shared" ref="G494" si="189">D494-E494</f>
        <v>0</v>
      </c>
      <c r="H494" s="251">
        <f t="shared" si="186"/>
        <v>0</v>
      </c>
      <c r="I494" s="251">
        <f t="shared" si="187"/>
        <v>0</v>
      </c>
    </row>
    <row r="495" spans="1:10" x14ac:dyDescent="0.25">
      <c r="A495" s="312"/>
      <c r="B495" s="313" t="s">
        <v>429</v>
      </c>
      <c r="C495" s="314"/>
      <c r="D495" s="315">
        <f>D494</f>
        <v>8500000</v>
      </c>
      <c r="E495" s="315">
        <f t="shared" ref="E495:G495" si="190">E494</f>
        <v>8500000</v>
      </c>
      <c r="F495" s="315">
        <f t="shared" si="190"/>
        <v>3686086.67</v>
      </c>
      <c r="G495" s="315">
        <f t="shared" si="190"/>
        <v>0</v>
      </c>
      <c r="H495" s="251">
        <f t="shared" si="186"/>
        <v>0</v>
      </c>
      <c r="I495" s="251">
        <f t="shared" si="187"/>
        <v>0</v>
      </c>
    </row>
    <row r="496" spans="1:10" x14ac:dyDescent="0.25">
      <c r="A496" s="312"/>
      <c r="B496" s="313" t="s">
        <v>430</v>
      </c>
      <c r="C496" s="314"/>
      <c r="D496" s="315"/>
      <c r="E496" s="315"/>
      <c r="F496" s="315"/>
      <c r="G496" s="315"/>
      <c r="H496" s="251">
        <f t="shared" si="186"/>
        <v>0</v>
      </c>
      <c r="I496" s="251">
        <f t="shared" si="187"/>
        <v>0</v>
      </c>
    </row>
    <row r="497" spans="1:11" x14ac:dyDescent="0.25">
      <c r="A497" s="254"/>
      <c r="B497" s="341"/>
      <c r="C497" s="342"/>
      <c r="D497" s="343"/>
      <c r="E497" s="343"/>
      <c r="F497" s="343"/>
      <c r="G497" s="343"/>
      <c r="H497" s="251"/>
      <c r="I497" s="251"/>
      <c r="J497" s="317"/>
    </row>
    <row r="498" spans="1:11" ht="25.5" x14ac:dyDescent="0.25">
      <c r="A498" s="247">
        <v>1403</v>
      </c>
      <c r="B498" s="248" t="s">
        <v>413</v>
      </c>
      <c r="C498" s="276"/>
      <c r="D498" s="277">
        <f t="shared" ref="D498:G500" si="191">D509+D512+D503+D506</f>
        <v>1585666639.4000001</v>
      </c>
      <c r="E498" s="277">
        <f t="shared" si="191"/>
        <v>1701550361.4300001</v>
      </c>
      <c r="F498" s="277">
        <f t="shared" si="191"/>
        <v>640346755.31000006</v>
      </c>
      <c r="G498" s="277">
        <f t="shared" si="191"/>
        <v>-115883722.03</v>
      </c>
      <c r="H498" s="251">
        <f t="shared" si="177"/>
        <v>0</v>
      </c>
      <c r="I498" s="251">
        <f t="shared" si="173"/>
        <v>1</v>
      </c>
    </row>
    <row r="499" spans="1:11" x14ac:dyDescent="0.25">
      <c r="A499" s="306"/>
      <c r="B499" s="307" t="s">
        <v>429</v>
      </c>
      <c r="C499" s="308"/>
      <c r="D499" s="321">
        <f t="shared" si="191"/>
        <v>234058526.31999999</v>
      </c>
      <c r="E499" s="321">
        <f t="shared" si="191"/>
        <v>371032685.70999998</v>
      </c>
      <c r="F499" s="321">
        <f t="shared" si="191"/>
        <v>49888533.75000006</v>
      </c>
      <c r="G499" s="321">
        <f t="shared" si="191"/>
        <v>-136974159.38999999</v>
      </c>
      <c r="H499" s="251">
        <f t="shared" si="177"/>
        <v>0</v>
      </c>
      <c r="I499" s="251">
        <f t="shared" si="173"/>
        <v>1</v>
      </c>
    </row>
    <row r="500" spans="1:11" x14ac:dyDescent="0.25">
      <c r="A500" s="306"/>
      <c r="B500" s="307" t="s">
        <v>430</v>
      </c>
      <c r="C500" s="308"/>
      <c r="D500" s="321">
        <f t="shared" si="191"/>
        <v>1246365473.6800001</v>
      </c>
      <c r="E500" s="321">
        <f t="shared" si="191"/>
        <v>1225275036.3199999</v>
      </c>
      <c r="F500" s="321">
        <f t="shared" si="191"/>
        <v>585654716.96000004</v>
      </c>
      <c r="G500" s="321">
        <f t="shared" si="191"/>
        <v>-102197762.64000002</v>
      </c>
      <c r="H500" s="251">
        <f t="shared" si="177"/>
        <v>0</v>
      </c>
      <c r="I500" s="251">
        <f t="shared" si="173"/>
        <v>1</v>
      </c>
    </row>
    <row r="501" spans="1:11" x14ac:dyDescent="0.25">
      <c r="A501" s="306"/>
      <c r="B501" s="307" t="s">
        <v>447</v>
      </c>
      <c r="C501" s="308"/>
      <c r="D501" s="321">
        <f>D498-D499-D500</f>
        <v>105242639.4000001</v>
      </c>
      <c r="E501" s="321">
        <f t="shared" ref="E501:G501" si="192">E498-E499-E500</f>
        <v>105242639.4000001</v>
      </c>
      <c r="F501" s="321">
        <f t="shared" si="192"/>
        <v>4803504.5999999046</v>
      </c>
      <c r="G501" s="321">
        <f t="shared" si="192"/>
        <v>123288200</v>
      </c>
      <c r="H501" s="251"/>
      <c r="I501" s="251"/>
    </row>
    <row r="502" spans="1:11" x14ac:dyDescent="0.25">
      <c r="A502" s="254"/>
      <c r="B502" s="240" t="s">
        <v>376</v>
      </c>
      <c r="C502" s="278"/>
      <c r="D502" s="279"/>
      <c r="E502" s="275"/>
      <c r="F502" s="275"/>
      <c r="G502" s="259"/>
      <c r="H502" s="251">
        <f t="shared" si="177"/>
        <v>0</v>
      </c>
      <c r="I502" s="251">
        <f t="shared" si="173"/>
        <v>0</v>
      </c>
    </row>
    <row r="503" spans="1:11" ht="127.5" x14ac:dyDescent="0.25">
      <c r="A503" s="254"/>
      <c r="B503" s="280" t="s">
        <v>611</v>
      </c>
      <c r="C503" s="278" t="s">
        <v>612</v>
      </c>
      <c r="D503" s="333">
        <v>67196200</v>
      </c>
      <c r="E503" s="275">
        <f>'Проверочная  таблица'!TC39</f>
        <v>80882159.389999986</v>
      </c>
      <c r="F503" s="275">
        <f>'Проверочная  таблица'!TJ39</f>
        <v>31777162.530000001</v>
      </c>
      <c r="G503" s="259">
        <f t="shared" ref="G503:G507" si="193">D503-E503</f>
        <v>-13685959.389999986</v>
      </c>
      <c r="H503" s="251">
        <f t="shared" si="177"/>
        <v>0</v>
      </c>
      <c r="I503" s="251">
        <f t="shared" si="173"/>
        <v>1</v>
      </c>
      <c r="J503" s="317">
        <f>D503+D506</f>
        <v>1343924000</v>
      </c>
    </row>
    <row r="504" spans="1:11" x14ac:dyDescent="0.25">
      <c r="A504" s="312"/>
      <c r="B504" s="313" t="s">
        <v>429</v>
      </c>
      <c r="C504" s="314"/>
      <c r="D504" s="316">
        <f>D503-D505</f>
        <v>11702926.32</v>
      </c>
      <c r="E504" s="316">
        <f>E503-E505</f>
        <v>25388885.709999986</v>
      </c>
      <c r="F504" s="316">
        <f t="shared" ref="F504" si="194">F503-F505</f>
        <v>2494426.6900000013</v>
      </c>
      <c r="G504" s="315">
        <f t="shared" si="193"/>
        <v>-13685959.389999986</v>
      </c>
      <c r="H504" s="251">
        <f t="shared" si="177"/>
        <v>0</v>
      </c>
      <c r="I504" s="251">
        <f t="shared" si="173"/>
        <v>1</v>
      </c>
    </row>
    <row r="505" spans="1:11" x14ac:dyDescent="0.25">
      <c r="A505" s="312"/>
      <c r="B505" s="313" t="s">
        <v>430</v>
      </c>
      <c r="C505" s="314"/>
      <c r="D505" s="334">
        <v>55493273.68</v>
      </c>
      <c r="E505" s="334">
        <v>55493273.68</v>
      </c>
      <c r="F505" s="334">
        <v>29282735.84</v>
      </c>
      <c r="G505" s="315">
        <f t="shared" si="193"/>
        <v>0</v>
      </c>
      <c r="H505" s="251">
        <f t="shared" si="177"/>
        <v>0</v>
      </c>
      <c r="I505" s="251">
        <f t="shared" si="173"/>
        <v>0</v>
      </c>
      <c r="K505" s="359" t="s">
        <v>367</v>
      </c>
    </row>
    <row r="506" spans="1:11" x14ac:dyDescent="0.25">
      <c r="A506" s="282"/>
      <c r="B506" s="266" t="s">
        <v>398</v>
      </c>
      <c r="C506" s="352" t="s">
        <v>612</v>
      </c>
      <c r="D506" s="318">
        <v>1276727800</v>
      </c>
      <c r="E506" s="269">
        <f>'Проверочная  таблица'!TD39</f>
        <v>1400016000</v>
      </c>
      <c r="F506" s="269">
        <f>'Проверочная  таблица'!TK39</f>
        <v>603766088.18000007</v>
      </c>
      <c r="G506" s="270">
        <f t="shared" si="193"/>
        <v>-123288200</v>
      </c>
      <c r="H506" s="251">
        <f t="shared" si="177"/>
        <v>0</v>
      </c>
      <c r="I506" s="251">
        <f t="shared" si="173"/>
        <v>1</v>
      </c>
    </row>
    <row r="507" spans="1:11" x14ac:dyDescent="0.25">
      <c r="A507" s="282"/>
      <c r="B507" s="319" t="s">
        <v>429</v>
      </c>
      <c r="C507" s="320"/>
      <c r="D507" s="269">
        <f>D506-D508</f>
        <v>222355600</v>
      </c>
      <c r="E507" s="269">
        <f>E506-E508</f>
        <v>345643800</v>
      </c>
      <c r="F507" s="269">
        <f t="shared" ref="F507" si="195">F506-F508</f>
        <v>47394107.060000062</v>
      </c>
      <c r="G507" s="270">
        <f t="shared" si="193"/>
        <v>-123288200</v>
      </c>
      <c r="H507" s="251">
        <f t="shared" si="177"/>
        <v>0</v>
      </c>
      <c r="I507" s="251">
        <f t="shared" si="173"/>
        <v>1</v>
      </c>
    </row>
    <row r="508" spans="1:11" x14ac:dyDescent="0.25">
      <c r="A508" s="282"/>
      <c r="B508" s="319" t="s">
        <v>430</v>
      </c>
      <c r="C508" s="320"/>
      <c r="D508" s="334">
        <v>1054372200</v>
      </c>
      <c r="E508" s="334">
        <v>1054372200</v>
      </c>
      <c r="F508" s="334">
        <v>556371981.12</v>
      </c>
      <c r="G508" s="270">
        <f t="shared" ref="G508" si="196">G506</f>
        <v>-123288200</v>
      </c>
      <c r="H508" s="251">
        <f t="shared" si="177"/>
        <v>0</v>
      </c>
      <c r="I508" s="251">
        <f t="shared" si="173"/>
        <v>1</v>
      </c>
      <c r="J508" s="317"/>
      <c r="K508" s="359" t="s">
        <v>367</v>
      </c>
    </row>
    <row r="509" spans="1:11" ht="140.25" hidden="1" x14ac:dyDescent="0.25">
      <c r="A509" s="310"/>
      <c r="B509" s="280" t="s">
        <v>431</v>
      </c>
      <c r="C509" s="256" t="s">
        <v>432</v>
      </c>
      <c r="D509" s="279"/>
      <c r="E509" s="262"/>
      <c r="F509" s="360"/>
      <c r="G509" s="259">
        <f t="shared" ref="G509:G511" si="197">D509-E509</f>
        <v>0</v>
      </c>
      <c r="H509" s="251">
        <f t="shared" si="177"/>
        <v>0</v>
      </c>
      <c r="I509" s="251">
        <f t="shared" si="173"/>
        <v>0</v>
      </c>
    </row>
    <row r="510" spans="1:11" hidden="1" x14ac:dyDescent="0.25">
      <c r="A510" s="312"/>
      <c r="B510" s="313" t="s">
        <v>429</v>
      </c>
      <c r="C510" s="314"/>
      <c r="D510" s="316">
        <f>D509-D511</f>
        <v>0</v>
      </c>
      <c r="E510" s="316">
        <f>E509-E511</f>
        <v>0</v>
      </c>
      <c r="F510" s="316">
        <f>F509-F511</f>
        <v>0</v>
      </c>
      <c r="G510" s="315">
        <f t="shared" si="197"/>
        <v>0</v>
      </c>
      <c r="H510" s="251">
        <f t="shared" si="177"/>
        <v>0</v>
      </c>
      <c r="I510" s="251">
        <f t="shared" si="173"/>
        <v>0</v>
      </c>
    </row>
    <row r="511" spans="1:11" hidden="1" x14ac:dyDescent="0.25">
      <c r="A511" s="312"/>
      <c r="B511" s="313" t="s">
        <v>430</v>
      </c>
      <c r="C511" s="314"/>
      <c r="D511" s="340"/>
      <c r="E511" s="340"/>
      <c r="F511" s="340"/>
      <c r="G511" s="315">
        <f t="shared" si="197"/>
        <v>0</v>
      </c>
      <c r="H511" s="251">
        <f t="shared" si="177"/>
        <v>0</v>
      </c>
      <c r="I511" s="251">
        <f t="shared" si="173"/>
        <v>0</v>
      </c>
    </row>
    <row r="512" spans="1:11" ht="140.25" x14ac:dyDescent="0.25">
      <c r="A512" s="254"/>
      <c r="B512" s="280" t="s">
        <v>613</v>
      </c>
      <c r="C512" s="256" t="s">
        <v>614</v>
      </c>
      <c r="D512" s="279">
        <f>149608210.75+92134428.65</f>
        <v>241742639.40000001</v>
      </c>
      <c r="E512" s="275">
        <f>'Прочая  субсидия_МР  и  ГО'!AL43</f>
        <v>220652202.04000002</v>
      </c>
      <c r="F512" s="275">
        <f>'Прочая  субсидия_МР  и  ГО'!AM43</f>
        <v>4803504.5999999996</v>
      </c>
      <c r="G512" s="259">
        <f>D512-E512</f>
        <v>21090437.359999985</v>
      </c>
      <c r="H512" s="251">
        <f t="shared" si="177"/>
        <v>0</v>
      </c>
      <c r="I512" s="251">
        <f t="shared" si="173"/>
        <v>0</v>
      </c>
    </row>
    <row r="513" spans="1:11" x14ac:dyDescent="0.25">
      <c r="A513" s="312"/>
      <c r="B513" s="313" t="s">
        <v>429</v>
      </c>
      <c r="C513" s="314"/>
      <c r="D513" s="315"/>
      <c r="E513" s="315"/>
      <c r="F513" s="315"/>
      <c r="G513" s="315">
        <f>D513-E513</f>
        <v>0</v>
      </c>
      <c r="H513" s="251">
        <f t="shared" si="177"/>
        <v>0</v>
      </c>
      <c r="I513" s="251">
        <f t="shared" si="173"/>
        <v>0</v>
      </c>
    </row>
    <row r="514" spans="1:11" x14ac:dyDescent="0.25">
      <c r="A514" s="312"/>
      <c r="B514" s="313" t="s">
        <v>430</v>
      </c>
      <c r="C514" s="314"/>
      <c r="D514" s="315">
        <f>D512-D515</f>
        <v>136500000</v>
      </c>
      <c r="E514" s="315">
        <f>E512-E515</f>
        <v>115409562.64000002</v>
      </c>
      <c r="F514" s="315">
        <f>F512-F515</f>
        <v>0</v>
      </c>
      <c r="G514" s="315">
        <f>D514-E514</f>
        <v>21090437.359999985</v>
      </c>
      <c r="H514" s="251">
        <f t="shared" si="177"/>
        <v>0</v>
      </c>
      <c r="I514" s="251">
        <f t="shared" si="173"/>
        <v>0</v>
      </c>
    </row>
    <row r="515" spans="1:11" x14ac:dyDescent="0.25">
      <c r="A515" s="312"/>
      <c r="B515" s="313" t="s">
        <v>447</v>
      </c>
      <c r="C515" s="314"/>
      <c r="D515" s="1099">
        <v>105242639.40000001</v>
      </c>
      <c r="E515" s="315">
        <f>D515</f>
        <v>105242639.40000001</v>
      </c>
      <c r="F515" s="1099">
        <v>4803504.5999999996</v>
      </c>
      <c r="G515" s="315">
        <f t="shared" ref="G515" si="198">G512-G513-G514</f>
        <v>0</v>
      </c>
      <c r="H515" s="251"/>
      <c r="I515" s="251"/>
      <c r="K515" s="359" t="s">
        <v>367</v>
      </c>
    </row>
    <row r="516" spans="1:11" x14ac:dyDescent="0.25">
      <c r="A516" s="361"/>
      <c r="B516" s="361"/>
      <c r="C516" s="362"/>
      <c r="D516" s="279"/>
      <c r="E516" s="279"/>
      <c r="F516" s="279"/>
      <c r="G516" s="279"/>
      <c r="H516" s="251">
        <f t="shared" si="177"/>
        <v>0</v>
      </c>
      <c r="I516" s="251">
        <f t="shared" si="173"/>
        <v>0</v>
      </c>
    </row>
    <row r="517" spans="1:11" s="359" customFormat="1" x14ac:dyDescent="0.25">
      <c r="A517" s="363"/>
      <c r="B517" s="364" t="s">
        <v>8</v>
      </c>
      <c r="C517" s="364"/>
      <c r="D517" s="365">
        <f t="shared" ref="D517:G519" si="199">D8+D44+D61+D99+D115+D132+D198+D239+D249+D259+D271+D337+D369+D386+D459+D467+D490+D498+D34</f>
        <v>16388988608.379999</v>
      </c>
      <c r="E517" s="365">
        <f t="shared" si="199"/>
        <v>17592075778.620003</v>
      </c>
      <c r="F517" s="365">
        <f t="shared" si="199"/>
        <v>4780298780.6099997</v>
      </c>
      <c r="G517" s="365">
        <f t="shared" si="199"/>
        <v>-1203087170.2400007</v>
      </c>
      <c r="H517" s="251">
        <f t="shared" si="177"/>
        <v>0</v>
      </c>
      <c r="I517" s="251">
        <f t="shared" si="173"/>
        <v>1</v>
      </c>
      <c r="J517" s="291"/>
    </row>
    <row r="518" spans="1:11" s="359" customFormat="1" x14ac:dyDescent="0.25">
      <c r="A518" s="306"/>
      <c r="B518" s="366" t="s">
        <v>429</v>
      </c>
      <c r="C518" s="308"/>
      <c r="D518" s="367">
        <f t="shared" si="199"/>
        <v>4383274605.71</v>
      </c>
      <c r="E518" s="367">
        <f t="shared" si="199"/>
        <v>4538352107.5900011</v>
      </c>
      <c r="F518" s="367">
        <f t="shared" si="199"/>
        <v>1167537051.3400002</v>
      </c>
      <c r="G518" s="367">
        <f t="shared" si="199"/>
        <v>-319586601.88000041</v>
      </c>
      <c r="H518" s="251">
        <f>IF(F518&gt;E518,1,0)</f>
        <v>0</v>
      </c>
      <c r="I518" s="251">
        <f>IF(G518&lt;0,1,0)</f>
        <v>1</v>
      </c>
      <c r="J518" s="291"/>
    </row>
    <row r="519" spans="1:11" s="359" customFormat="1" x14ac:dyDescent="0.25">
      <c r="A519" s="306"/>
      <c r="B519" s="366" t="s">
        <v>430</v>
      </c>
      <c r="C519" s="308"/>
      <c r="D519" s="367">
        <f t="shared" si="199"/>
        <v>5504050582.3699999</v>
      </c>
      <c r="E519" s="367">
        <f t="shared" si="199"/>
        <v>4652186666.9799995</v>
      </c>
      <c r="F519" s="367">
        <f t="shared" si="199"/>
        <v>1406578492.1700001</v>
      </c>
      <c r="G519" s="367">
        <f t="shared" si="199"/>
        <v>728575715.38999975</v>
      </c>
      <c r="H519" s="251">
        <f>IF(F519&gt;E519,1,0)</f>
        <v>0</v>
      </c>
      <c r="I519" s="251">
        <f>IF(G519&lt;0,1,0)</f>
        <v>0</v>
      </c>
      <c r="J519" s="291"/>
    </row>
    <row r="520" spans="1:11" s="359" customFormat="1" x14ac:dyDescent="0.25">
      <c r="A520" s="306"/>
      <c r="B520" s="366" t="s">
        <v>447</v>
      </c>
      <c r="C520" s="308"/>
      <c r="D520" s="367">
        <f>D274+D262+D252+D201+D135+D47+D501+D102+D340+D64+D389</f>
        <v>6501663420.2999973</v>
      </c>
      <c r="E520" s="367">
        <f>E274+E262+E252+E201+E135+E47+E501+E102+E340+E64+E389</f>
        <v>8401537004.0499992</v>
      </c>
      <c r="F520" s="367">
        <f>F274+F262+F252+F201+F135+F47+F501+F102+F340+F64+F389</f>
        <v>2206183237.0999994</v>
      </c>
      <c r="G520" s="367">
        <f>G274+G262+G252+G201+G135+G47+G501+G102+G340+G64+G389</f>
        <v>-1612076283.7500005</v>
      </c>
      <c r="H520" s="251">
        <f>IF(F520&gt;E520,1,0)</f>
        <v>0</v>
      </c>
      <c r="I520" s="251">
        <f>IF(G520&lt;0,1,0)</f>
        <v>1</v>
      </c>
      <c r="J520" s="291"/>
    </row>
    <row r="521" spans="1:11" s="359" customFormat="1" x14ac:dyDescent="0.25">
      <c r="A521" s="368"/>
      <c r="B521" s="369"/>
      <c r="C521" s="370"/>
      <c r="D521" s="371">
        <f>D517-D518-D519-D520</f>
        <v>0</v>
      </c>
      <c r="E521" s="371">
        <f t="shared" ref="E521:G521" si="200">E517-E518-E519-E520</f>
        <v>0</v>
      </c>
      <c r="F521" s="371">
        <f t="shared" si="200"/>
        <v>0</v>
      </c>
      <c r="G521" s="371">
        <f t="shared" si="200"/>
        <v>0</v>
      </c>
      <c r="H521" s="372">
        <f>SUM(H8:H519)</f>
        <v>2</v>
      </c>
      <c r="I521" s="372">
        <f>SUM(I8:I519)</f>
        <v>70</v>
      </c>
      <c r="J521" s="291"/>
    </row>
    <row r="522" spans="1:11" s="359" customFormat="1" x14ac:dyDescent="0.25">
      <c r="A522" s="368"/>
      <c r="B522" s="369"/>
      <c r="C522" s="370"/>
      <c r="D522" s="291"/>
      <c r="E522" s="373">
        <f>E517-'Проверочная  таблица'!AN38</f>
        <v>-356349587.04999542</v>
      </c>
      <c r="F522" s="374">
        <f>F517-'Проверочная  таблица'!AO38</f>
        <v>0</v>
      </c>
      <c r="G522" s="371"/>
      <c r="H522" s="251"/>
      <c r="I522" s="251"/>
      <c r="J522" s="291"/>
    </row>
    <row r="523" spans="1:11" s="359" customFormat="1" x14ac:dyDescent="0.25">
      <c r="A523" s="368"/>
      <c r="B523" s="369"/>
      <c r="C523" s="375" t="s">
        <v>615</v>
      </c>
      <c r="D523" s="1139">
        <v>4383274605.71</v>
      </c>
      <c r="E523" s="1151" t="s">
        <v>616</v>
      </c>
      <c r="F523" s="1139">
        <v>1167537051.3399999</v>
      </c>
      <c r="G523" s="376">
        <f>G517-[1]Субсидия_факт!$N$40</f>
        <v>-2487041884.9500008</v>
      </c>
      <c r="H523" s="251"/>
      <c r="I523" s="251"/>
      <c r="J523" s="291"/>
    </row>
    <row r="524" spans="1:11" s="359" customFormat="1" x14ac:dyDescent="0.25">
      <c r="A524" s="368"/>
      <c r="B524" s="369"/>
      <c r="C524" s="375" t="s">
        <v>617</v>
      </c>
      <c r="D524" s="377">
        <f>D523-D518</f>
        <v>0</v>
      </c>
      <c r="E524" s="1151" t="s">
        <v>423</v>
      </c>
      <c r="F524" s="377">
        <f>F523-F518</f>
        <v>0</v>
      </c>
      <c r="G524" s="1792" t="s">
        <v>618</v>
      </c>
      <c r="H524" s="251"/>
      <c r="I524" s="251"/>
      <c r="J524" s="291"/>
    </row>
    <row r="525" spans="1:11" s="359" customFormat="1" x14ac:dyDescent="0.25">
      <c r="A525" s="368"/>
      <c r="B525" s="369"/>
      <c r="C525" s="375" t="s">
        <v>619</v>
      </c>
      <c r="D525" s="1139">
        <v>5504050582.3699999</v>
      </c>
      <c r="E525" s="1151" t="s">
        <v>620</v>
      </c>
      <c r="F525" s="1139">
        <v>1406578492.1700001</v>
      </c>
      <c r="G525" s="1792"/>
      <c r="H525" s="251"/>
      <c r="I525" s="251"/>
      <c r="J525" s="291"/>
    </row>
    <row r="526" spans="1:11" s="359" customFormat="1" x14ac:dyDescent="0.25">
      <c r="A526" s="368"/>
      <c r="B526" s="369"/>
      <c r="C526" s="375" t="s">
        <v>617</v>
      </c>
      <c r="D526" s="377">
        <f>D525-D519</f>
        <v>0</v>
      </c>
      <c r="E526" s="1151" t="s">
        <v>423</v>
      </c>
      <c r="F526" s="377">
        <f>F525-F519</f>
        <v>0</v>
      </c>
      <c r="G526" s="371">
        <f>G517-'[1]Нераспределенная  субсидия'!$F$43</f>
        <v>-2487041884.9500008</v>
      </c>
      <c r="H526" s="251"/>
      <c r="I526" s="251"/>
      <c r="J526" s="291"/>
    </row>
    <row r="527" spans="1:11" s="359" customFormat="1" x14ac:dyDescent="0.25">
      <c r="A527" s="368"/>
      <c r="B527" s="369"/>
      <c r="C527" s="375" t="s">
        <v>621</v>
      </c>
      <c r="D527" s="1139">
        <v>6501663420.3000002</v>
      </c>
      <c r="E527" s="1151" t="s">
        <v>622</v>
      </c>
      <c r="F527" s="1139">
        <v>2206183237.0999999</v>
      </c>
      <c r="G527" s="371"/>
      <c r="H527" s="251"/>
      <c r="I527" s="251"/>
      <c r="J527" s="291"/>
    </row>
    <row r="528" spans="1:11" s="359" customFormat="1" x14ac:dyDescent="0.25">
      <c r="A528" s="368"/>
      <c r="B528" s="369"/>
      <c r="C528" s="375" t="s">
        <v>617</v>
      </c>
      <c r="D528" s="377">
        <f>D527-D520</f>
        <v>0</v>
      </c>
      <c r="E528" s="1151" t="s">
        <v>423</v>
      </c>
      <c r="F528" s="377">
        <f>F527-F520</f>
        <v>0</v>
      </c>
      <c r="G528" s="371"/>
      <c r="H528" s="251"/>
      <c r="I528" s="251"/>
      <c r="J528" s="291"/>
    </row>
    <row r="529" spans="1:10" s="359" customFormat="1" x14ac:dyDescent="0.25">
      <c r="A529" s="368"/>
      <c r="B529" s="369"/>
      <c r="C529" s="370"/>
      <c r="D529" s="371"/>
      <c r="E529" s="371"/>
      <c r="F529" s="371"/>
      <c r="G529" s="371"/>
      <c r="H529" s="251"/>
      <c r="I529" s="251"/>
      <c r="J529" s="291"/>
    </row>
    <row r="530" spans="1:10" s="359" customFormat="1" x14ac:dyDescent="0.25">
      <c r="A530" s="368"/>
      <c r="B530" s="369"/>
      <c r="C530" s="370"/>
      <c r="D530" s="371"/>
      <c r="E530" s="371"/>
      <c r="F530" s="371"/>
      <c r="G530" s="371"/>
      <c r="H530" s="251"/>
      <c r="I530" s="251"/>
      <c r="J530" s="291"/>
    </row>
    <row r="531" spans="1:10" s="359" customFormat="1" x14ac:dyDescent="0.25">
      <c r="A531" s="368"/>
      <c r="B531" s="369"/>
      <c r="C531" s="1793" t="s">
        <v>418</v>
      </c>
      <c r="D531" s="1793"/>
      <c r="E531" s="1793"/>
      <c r="F531" s="1793"/>
      <c r="G531" s="1793"/>
      <c r="H531" s="251"/>
      <c r="I531" s="251"/>
      <c r="J531" s="291"/>
    </row>
    <row r="532" spans="1:10" s="359" customFormat="1" ht="14.1" customHeight="1" x14ac:dyDescent="0.25">
      <c r="A532" s="368"/>
      <c r="B532" s="369"/>
      <c r="C532" s="1029" t="s">
        <v>623</v>
      </c>
      <c r="D532" s="1030">
        <f>D216+D307+D452+D445+D292+D439+D405+D475+D236+D182+D129+D227+D507+D284+D349+D356+D141+D246+D96+D120+D481+D424+D418+D41+D188+D319+D77+D412+D363+D395+D22+D57+D70+D208+D433+D325</f>
        <v>1035609407.21</v>
      </c>
      <c r="E532" s="1030">
        <f t="shared" ref="E532:G532" si="201">E216+E307+E452+E445+E292+E439+E405+E475+E236+E182+E129+E227+E507+E284+E349+E356+E141+E246+E96+E120+E481+E424+E418+E41+E188+E319+E77+E412+E363+E395+E22+E57+E70+E208+E433+E325</f>
        <v>1241758158.5899999</v>
      </c>
      <c r="F532" s="1030">
        <f t="shared" si="201"/>
        <v>436572302.09000003</v>
      </c>
      <c r="G532" s="1030">
        <f t="shared" si="201"/>
        <v>-370657851.38</v>
      </c>
      <c r="H532" s="251"/>
      <c r="I532" s="251"/>
      <c r="J532" s="291"/>
    </row>
    <row r="533" spans="1:10" s="359" customFormat="1" x14ac:dyDescent="0.25">
      <c r="A533" s="368"/>
      <c r="B533" s="369"/>
      <c r="C533" s="1029" t="s">
        <v>624</v>
      </c>
      <c r="D533" s="1030">
        <f>D217+D308+D453+D446+D293+D440+D406+D476+D237+D183+D130+D228+D508+D285+D350+D357+D142+D247+D97+D121+D482+D425+D419+D42+D189+D320+D78+D413+D364+D396+D23+D58+D71+D209+D434+D326</f>
        <v>2593976870.5599999</v>
      </c>
      <c r="E533" s="1030">
        <f t="shared" ref="E533:G533" si="202">E217+E308+E453+E446+E293+E440+E406+E476+E237+E183+E130+E228+E508+E285+E350+E357+E142+E247+E97+E121+E482+E425+E419+E42+E189+E320+E78+E413+E364+E396+E23+E58+E71+E209+E434+E326</f>
        <v>2583625977.9200001</v>
      </c>
      <c r="F533" s="1030">
        <f t="shared" si="202"/>
        <v>976473457.39999998</v>
      </c>
      <c r="G533" s="1030">
        <f t="shared" si="202"/>
        <v>-112937307.36</v>
      </c>
      <c r="H533" s="251"/>
      <c r="I533" s="251"/>
      <c r="J533" s="291"/>
    </row>
    <row r="534" spans="1:10" s="359" customFormat="1" x14ac:dyDescent="0.25">
      <c r="A534" s="368"/>
      <c r="B534" s="369"/>
      <c r="C534" s="1029" t="s">
        <v>625</v>
      </c>
      <c r="D534" s="1030">
        <f>D294+D218+D59+D72+D210+D286+D358+D454+D407</f>
        <v>2969452120.5100002</v>
      </c>
      <c r="E534" s="1030">
        <f t="shared" ref="E534:G534" si="203">E294+E218+E59+E72+E210+E286+E358+E454+E407</f>
        <v>3270472026.21</v>
      </c>
      <c r="F534" s="1030">
        <f t="shared" si="203"/>
        <v>1313917685.1899998</v>
      </c>
      <c r="G534" s="1030">
        <f t="shared" si="203"/>
        <v>-301019905.70000005</v>
      </c>
      <c r="H534" s="251"/>
      <c r="I534" s="251"/>
      <c r="J534" s="291"/>
    </row>
    <row r="535" spans="1:10" s="359" customFormat="1" x14ac:dyDescent="0.25">
      <c r="A535" s="368"/>
      <c r="B535" s="369"/>
      <c r="C535" s="1029" t="s">
        <v>422</v>
      </c>
      <c r="D535" s="1030">
        <f>SUM(D532:D534)</f>
        <v>6599038398.2800007</v>
      </c>
      <c r="E535" s="1030">
        <f t="shared" ref="E535:G535" si="204">SUM(E532:E534)</f>
        <v>7095856162.7200003</v>
      </c>
      <c r="F535" s="1030">
        <f t="shared" si="204"/>
        <v>2726963444.6799998</v>
      </c>
      <c r="G535" s="1030">
        <f t="shared" si="204"/>
        <v>-784615064.44000006</v>
      </c>
      <c r="H535" s="251"/>
      <c r="I535" s="251"/>
      <c r="J535" s="291"/>
    </row>
    <row r="536" spans="1:10" s="359" customFormat="1" x14ac:dyDescent="0.25">
      <c r="A536" s="368"/>
      <c r="B536" s="369"/>
      <c r="C536" s="370"/>
      <c r="D536" s="371"/>
      <c r="E536" s="371"/>
      <c r="F536" s="371"/>
      <c r="G536" s="371"/>
      <c r="H536" s="251"/>
      <c r="I536" s="251"/>
      <c r="J536" s="291"/>
    </row>
    <row r="537" spans="1:10" s="359" customFormat="1" ht="15.75" thickBot="1" x14ac:dyDescent="0.3">
      <c r="A537" s="368"/>
      <c r="B537" s="369"/>
      <c r="C537" s="370"/>
      <c r="D537" s="294"/>
      <c r="E537" s="371"/>
      <c r="F537" s="371"/>
      <c r="G537" s="371"/>
      <c r="H537" s="251"/>
      <c r="I537" s="251"/>
      <c r="J537" s="291"/>
    </row>
    <row r="538" spans="1:10" s="359" customFormat="1" ht="45.75" thickBot="1" x14ac:dyDescent="0.3">
      <c r="A538" s="368"/>
      <c r="B538" s="369"/>
      <c r="C538" s="370"/>
      <c r="D538" s="378">
        <v>6599038398.2799997</v>
      </c>
      <c r="E538" s="262" t="s">
        <v>626</v>
      </c>
      <c r="F538" s="378">
        <v>2726963444.6799998</v>
      </c>
      <c r="G538" s="371"/>
      <c r="H538" s="251"/>
      <c r="I538" s="251"/>
      <c r="J538" s="291"/>
    </row>
    <row r="539" spans="1:10" s="359" customFormat="1" x14ac:dyDescent="0.25">
      <c r="A539" s="368"/>
      <c r="B539" s="369"/>
      <c r="C539" s="369"/>
      <c r="D539" s="369"/>
      <c r="E539" s="369"/>
      <c r="F539" s="369"/>
      <c r="G539" s="369"/>
      <c r="H539" s="369"/>
      <c r="I539" s="251"/>
      <c r="J539" s="291"/>
    </row>
    <row r="540" spans="1:10" s="359" customFormat="1" x14ac:dyDescent="0.25">
      <c r="A540" s="368"/>
      <c r="B540" s="369"/>
      <c r="C540" s="379" t="s">
        <v>423</v>
      </c>
      <c r="D540" s="377">
        <f>D538-D535</f>
        <v>0</v>
      </c>
      <c r="E540" s="371"/>
      <c r="F540" s="377">
        <f>F538-F535</f>
        <v>0</v>
      </c>
      <c r="G540" s="371"/>
      <c r="H540" s="251"/>
      <c r="I540" s="251"/>
      <c r="J540" s="291"/>
    </row>
    <row r="541" spans="1:10" s="359" customFormat="1" x14ac:dyDescent="0.25">
      <c r="A541" s="368"/>
      <c r="B541" s="369"/>
      <c r="C541" s="370"/>
      <c r="D541" s="371"/>
      <c r="E541" s="371"/>
      <c r="F541" s="371"/>
      <c r="G541" s="371"/>
      <c r="H541" s="251"/>
      <c r="I541" s="251"/>
      <c r="J541" s="291"/>
    </row>
    <row r="542" spans="1:10" s="359" customFormat="1" x14ac:dyDescent="0.25">
      <c r="A542" s="368"/>
      <c r="B542" s="369"/>
      <c r="C542" s="370"/>
      <c r="D542" s="371"/>
      <c r="E542" s="371"/>
      <c r="F542" s="371"/>
      <c r="G542" s="371"/>
      <c r="H542" s="251"/>
      <c r="I542" s="251"/>
      <c r="J542" s="291"/>
    </row>
    <row r="543" spans="1:10" s="359" customFormat="1" ht="73.5" customHeight="1" x14ac:dyDescent="0.25">
      <c r="A543" s="368"/>
      <c r="B543" s="369"/>
      <c r="C543" s="262" t="s">
        <v>627</v>
      </c>
      <c r="D543" s="380">
        <f>D119+D147+D143</f>
        <v>353435000</v>
      </c>
      <c r="E543" s="380">
        <f>E119+E147+E143</f>
        <v>1219110729.7800002</v>
      </c>
      <c r="F543" s="380">
        <f>F119+F147+F143</f>
        <v>3599000</v>
      </c>
      <c r="G543" s="380">
        <f>G119+G147+G143</f>
        <v>-865675729.78000009</v>
      </c>
      <c r="H543" s="251"/>
      <c r="I543" s="251"/>
      <c r="J543" s="291"/>
    </row>
    <row r="544" spans="1:10" s="359" customFormat="1" x14ac:dyDescent="0.25">
      <c r="A544" s="368"/>
      <c r="B544" s="369"/>
      <c r="C544" s="370"/>
      <c r="D544" s="371"/>
      <c r="E544" s="371"/>
      <c r="F544" s="371"/>
      <c r="G544" s="371"/>
      <c r="H544" s="251"/>
      <c r="I544" s="251"/>
      <c r="J544" s="291"/>
    </row>
    <row r="545" spans="1:10" s="359" customFormat="1" x14ac:dyDescent="0.25">
      <c r="A545" s="368"/>
      <c r="B545" s="369"/>
      <c r="C545" s="370"/>
      <c r="D545" s="371"/>
      <c r="E545" s="371"/>
      <c r="F545" s="371"/>
      <c r="G545" s="371"/>
      <c r="H545" s="251"/>
      <c r="I545" s="251"/>
      <c r="J545" s="291"/>
    </row>
    <row r="546" spans="1:10" ht="15.75" x14ac:dyDescent="0.25">
      <c r="C546" s="381" t="s">
        <v>628</v>
      </c>
      <c r="D546" s="382">
        <f>[1]Субсидия_факт!$N$39</f>
        <v>16388988608.379999</v>
      </c>
      <c r="E546" s="374"/>
      <c r="F546" s="383">
        <f>[1]Субсидия_факт!$F$36</f>
        <v>16510637.284009997</v>
      </c>
      <c r="G546" s="384">
        <f>F546*1000-D517</f>
        <v>121648675.62999725</v>
      </c>
    </row>
    <row r="547" spans="1:10" ht="25.5" x14ac:dyDescent="0.25">
      <c r="C547" s="385" t="s">
        <v>617</v>
      </c>
      <c r="D547" s="386">
        <f>D546-D517</f>
        <v>0</v>
      </c>
      <c r="E547" s="374"/>
      <c r="F547" s="387" t="s">
        <v>629</v>
      </c>
      <c r="G547" s="387" t="s">
        <v>630</v>
      </c>
    </row>
    <row r="548" spans="1:10" x14ac:dyDescent="0.25">
      <c r="C548" s="381"/>
      <c r="E548" s="374"/>
      <c r="F548" s="374"/>
      <c r="G548" s="374"/>
    </row>
    <row r="549" spans="1:10" x14ac:dyDescent="0.25">
      <c r="F549" s="388"/>
      <c r="G549" s="388"/>
    </row>
    <row r="550" spans="1:10" x14ac:dyDescent="0.25">
      <c r="C550" s="381"/>
      <c r="D550" s="381"/>
      <c r="E550" s="373">
        <f>E551-'Проверочная  таблица'!AR39</f>
        <v>-241232787.05000004</v>
      </c>
      <c r="F550" s="373">
        <f>F551-'Проверочная  таблица'!AU39</f>
        <v>0</v>
      </c>
    </row>
    <row r="551" spans="1:10" ht="165.75" x14ac:dyDescent="0.25">
      <c r="A551" s="1788"/>
      <c r="B551" s="280" t="s">
        <v>631</v>
      </c>
      <c r="C551" s="256" t="s">
        <v>632</v>
      </c>
      <c r="D551" s="389">
        <f t="shared" ref="D551:G553" si="205">D455+D333+D267+D12+D463+D509+D365+D379+D486</f>
        <v>6726687.7300000004</v>
      </c>
      <c r="E551" s="389">
        <f t="shared" si="205"/>
        <v>6726687.7300000004</v>
      </c>
      <c r="F551" s="389">
        <f t="shared" si="205"/>
        <v>4965519.3899999997</v>
      </c>
      <c r="G551" s="389">
        <f t="shared" si="205"/>
        <v>0</v>
      </c>
      <c r="H551" s="251">
        <f>IF(F551&gt;E551,1,0)</f>
        <v>0</v>
      </c>
      <c r="I551" s="251">
        <f>IF(G551&lt;0,1,0)</f>
        <v>0</v>
      </c>
    </row>
    <row r="552" spans="1:10" x14ac:dyDescent="0.25">
      <c r="A552" s="1788"/>
      <c r="B552" s="390" t="s">
        <v>429</v>
      </c>
      <c r="C552" s="391"/>
      <c r="D552" s="392">
        <f t="shared" si="205"/>
        <v>6726687.7300000004</v>
      </c>
      <c r="E552" s="392">
        <f t="shared" si="205"/>
        <v>6726687.7300000004</v>
      </c>
      <c r="F552" s="392">
        <f t="shared" si="205"/>
        <v>4965519.3899999997</v>
      </c>
      <c r="G552" s="392">
        <f t="shared" si="205"/>
        <v>0</v>
      </c>
      <c r="H552" s="251">
        <f>IF(F552&gt;E552,1,0)</f>
        <v>0</v>
      </c>
      <c r="I552" s="251">
        <f>IF(G552&lt;0,1,0)</f>
        <v>0</v>
      </c>
    </row>
    <row r="553" spans="1:10" x14ac:dyDescent="0.25">
      <c r="A553" s="1788"/>
      <c r="B553" s="390" t="s">
        <v>430</v>
      </c>
      <c r="C553" s="393"/>
      <c r="D553" s="392">
        <f t="shared" si="205"/>
        <v>0</v>
      </c>
      <c r="E553" s="392">
        <f t="shared" si="205"/>
        <v>0</v>
      </c>
      <c r="F553" s="392">
        <f t="shared" si="205"/>
        <v>0</v>
      </c>
      <c r="G553" s="392">
        <f t="shared" si="205"/>
        <v>0</v>
      </c>
      <c r="H553" s="251">
        <f>IF(F553&gt;E553,1,0)</f>
        <v>0</v>
      </c>
      <c r="I553" s="251">
        <f>IF(G553&lt;0,1,0)</f>
        <v>0</v>
      </c>
    </row>
  </sheetData>
  <mergeCells count="6">
    <mergeCell ref="A551:A553"/>
    <mergeCell ref="A2:G2"/>
    <mergeCell ref="A3:G3"/>
    <mergeCell ref="A4:G4"/>
    <mergeCell ref="G524:G525"/>
    <mergeCell ref="C531:G531"/>
  </mergeCells>
  <pageMargins left="0.78740157480314965" right="0.39370078740157483" top="0.78740157480314965" bottom="0.78740157480314965" header="0.51181102362204722" footer="0.51181102362204722"/>
  <pageSetup paperSize="9" scale="53" fitToHeight="15" orientation="portrait" horizontalDpi="300" verticalDpi="300" r:id="rId1"/>
  <headerFooter alignWithMargins="0">
    <oddFooter>&amp;L&amp;P&amp;R&amp;Z&amp;F&amp;A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2"/>
  <sheetViews>
    <sheetView zoomScale="80" zoomScaleNormal="80" workbookViewId="0">
      <pane xSplit="1" ySplit="7" topLeftCell="B8" activePane="bottomRight" state="frozen"/>
      <selection pane="topRight" activeCell="B1" sqref="B1"/>
      <selection pane="bottomLeft" activeCell="A6" sqref="A6"/>
      <selection pane="bottomRight" activeCell="G13" sqref="G13"/>
    </sheetView>
  </sheetViews>
  <sheetFormatPr defaultColWidth="9.140625" defaultRowHeight="15" x14ac:dyDescent="0.25"/>
  <cols>
    <col min="1" max="1" width="12" style="244" customWidth="1"/>
    <col min="2" max="2" width="51.140625" style="244" customWidth="1"/>
    <col min="3" max="3" width="17.42578125" style="244" customWidth="1"/>
    <col min="4" max="4" width="20" style="244" customWidth="1"/>
    <col min="5" max="5" width="20.28515625" style="244" customWidth="1"/>
    <col min="6" max="6" width="18.140625" style="244" customWidth="1"/>
    <col min="7" max="7" width="20.28515625" style="244" customWidth="1"/>
    <col min="8" max="8" width="14.5703125" style="244" customWidth="1"/>
    <col min="9" max="9" width="15.42578125" style="214" customWidth="1"/>
    <col min="10" max="10" width="17" style="244" bestFit="1" customWidth="1"/>
    <col min="11" max="16384" width="9.140625" style="244"/>
  </cols>
  <sheetData>
    <row r="2" spans="1:10" ht="15.75" x14ac:dyDescent="0.25">
      <c r="A2" s="1780" t="s">
        <v>424</v>
      </c>
      <c r="B2" s="1780"/>
      <c r="C2" s="1780"/>
      <c r="D2" s="1780"/>
      <c r="E2" s="1780"/>
      <c r="F2" s="1780"/>
      <c r="G2" s="1780"/>
    </row>
    <row r="3" spans="1:10" ht="15.75" x14ac:dyDescent="0.25">
      <c r="A3" s="1781" t="str">
        <f>'Проверочная  таблица'!E3</f>
        <v>ПО  СОСТОЯНИЮ  НА  1  ИЮЛЯ  2024  ГОДА</v>
      </c>
      <c r="B3" s="1781"/>
      <c r="C3" s="1781"/>
      <c r="D3" s="1781"/>
      <c r="E3" s="1781"/>
      <c r="F3" s="1781"/>
      <c r="G3" s="1781"/>
    </row>
    <row r="4" spans="1:10" ht="15.75" x14ac:dyDescent="0.25">
      <c r="A4" s="1794" t="s">
        <v>425</v>
      </c>
      <c r="B4" s="1794"/>
      <c r="C4" s="1794"/>
      <c r="D4" s="1794"/>
      <c r="E4" s="1794"/>
      <c r="F4" s="1794"/>
      <c r="G4" s="1794"/>
    </row>
    <row r="6" spans="1:10" x14ac:dyDescent="0.25">
      <c r="F6" s="244" t="s">
        <v>371</v>
      </c>
    </row>
    <row r="7" spans="1:10" s="245" customFormat="1" ht="25.5" x14ac:dyDescent="0.25">
      <c r="A7" s="240" t="s">
        <v>372</v>
      </c>
      <c r="B7" s="240" t="s">
        <v>357</v>
      </c>
      <c r="C7" s="240" t="s">
        <v>358</v>
      </c>
      <c r="D7" s="240" t="s">
        <v>359</v>
      </c>
      <c r="E7" s="240" t="s">
        <v>364</v>
      </c>
      <c r="F7" s="240" t="s">
        <v>365</v>
      </c>
      <c r="G7" s="240" t="s">
        <v>373</v>
      </c>
      <c r="I7" s="246"/>
    </row>
    <row r="8" spans="1:10" s="245" customFormat="1" x14ac:dyDescent="0.25">
      <c r="A8" s="247"/>
      <c r="B8" s="248"/>
      <c r="C8" s="249"/>
      <c r="D8" s="300">
        <f>D9</f>
        <v>0</v>
      </c>
      <c r="E8" s="300">
        <f t="shared" ref="E8:G8" si="0">E9</f>
        <v>0</v>
      </c>
      <c r="F8" s="300">
        <f t="shared" si="0"/>
        <v>0</v>
      </c>
      <c r="G8" s="300">
        <f t="shared" si="0"/>
        <v>0</v>
      </c>
      <c r="H8" s="251">
        <f t="shared" ref="H8:H11" si="1">IF(F8&gt;E8,1,0)</f>
        <v>0</v>
      </c>
      <c r="I8" s="251">
        <f t="shared" ref="I8:I11" si="2">IF(G8&lt;0,1,0)</f>
        <v>0</v>
      </c>
    </row>
    <row r="9" spans="1:10" s="245" customFormat="1" x14ac:dyDescent="0.25">
      <c r="A9" s="252"/>
      <c r="B9" s="255"/>
      <c r="C9" s="217"/>
      <c r="D9" s="262"/>
      <c r="E9" s="275"/>
      <c r="F9" s="275"/>
      <c r="G9" s="259">
        <f>D9-E9</f>
        <v>0</v>
      </c>
      <c r="H9" s="251">
        <f t="shared" si="1"/>
        <v>0</v>
      </c>
      <c r="I9" s="251">
        <f t="shared" si="2"/>
        <v>0</v>
      </c>
    </row>
    <row r="10" spans="1:10" s="245" customFormat="1" x14ac:dyDescent="0.25">
      <c r="A10" s="254"/>
      <c r="B10" s="255"/>
      <c r="C10" s="256"/>
      <c r="D10" s="285"/>
      <c r="E10" s="258"/>
      <c r="F10" s="258"/>
      <c r="G10" s="259">
        <f>D10-E10</f>
        <v>0</v>
      </c>
      <c r="H10" s="251">
        <f t="shared" si="1"/>
        <v>0</v>
      </c>
      <c r="I10" s="251">
        <f t="shared" si="2"/>
        <v>0</v>
      </c>
      <c r="J10" s="264"/>
    </row>
    <row r="11" spans="1:10" s="287" customFormat="1" x14ac:dyDescent="0.25">
      <c r="A11" s="1795" t="s">
        <v>31</v>
      </c>
      <c r="B11" s="1795"/>
      <c r="C11" s="285"/>
      <c r="D11" s="285">
        <f>D8</f>
        <v>0</v>
      </c>
      <c r="E11" s="285">
        <f t="shared" ref="E11:G11" si="3">E8</f>
        <v>0</v>
      </c>
      <c r="F11" s="285">
        <f t="shared" si="3"/>
        <v>0</v>
      </c>
      <c r="G11" s="285">
        <f t="shared" si="3"/>
        <v>0</v>
      </c>
      <c r="H11" s="251">
        <f t="shared" si="1"/>
        <v>0</v>
      </c>
      <c r="I11" s="251">
        <f t="shared" si="2"/>
        <v>0</v>
      </c>
    </row>
    <row r="12" spans="1:10" x14ac:dyDescent="0.25">
      <c r="D12" s="288"/>
      <c r="E12" s="288"/>
      <c r="G12" s="288">
        <f>G11-[1]Субвенция_факт!$D$38</f>
        <v>0</v>
      </c>
    </row>
  </sheetData>
  <mergeCells count="4">
    <mergeCell ref="A2:G2"/>
    <mergeCell ref="A3:G3"/>
    <mergeCell ref="A4:G4"/>
    <mergeCell ref="A11:B11"/>
  </mergeCells>
  <pageMargins left="0.78740157480314965" right="0.39370078740157483" top="0.78740157480314965" bottom="0.78740157480314965" header="0.51181102362204722" footer="0.51181102362204722"/>
  <pageSetup paperSize="9" scale="48" fitToHeight="2"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8"/>
  <sheetViews>
    <sheetView zoomScale="80" zoomScaleNormal="80" zoomScaleSheetLayoutView="70" workbookViewId="0">
      <pane xSplit="3" ySplit="8" topLeftCell="D53" activePane="bottomRight" state="frozen"/>
      <selection pane="topRight" activeCell="D1" sqref="D1"/>
      <selection pane="bottomLeft" activeCell="A9" sqref="A9"/>
      <selection pane="bottomRight" activeCell="D63" sqref="D63"/>
    </sheetView>
  </sheetViews>
  <sheetFormatPr defaultColWidth="9.140625" defaultRowHeight="15" x14ac:dyDescent="0.25"/>
  <cols>
    <col min="1" max="1" width="12" style="244" customWidth="1"/>
    <col min="2" max="2" width="51.140625" style="244" customWidth="1"/>
    <col min="3" max="3" width="17.42578125" style="244" customWidth="1"/>
    <col min="4" max="4" width="20.42578125" style="244" customWidth="1"/>
    <col min="5" max="6" width="20.140625" style="244" customWidth="1"/>
    <col min="7" max="7" width="21.28515625" style="244" customWidth="1"/>
    <col min="8" max="8" width="11.42578125" style="244" bestFit="1" customWidth="1"/>
    <col min="9" max="9" width="20.140625" style="214" bestFit="1" customWidth="1"/>
    <col min="10" max="10" width="16.5703125" style="244" bestFit="1" customWidth="1"/>
    <col min="11" max="16384" width="9.140625" style="244"/>
  </cols>
  <sheetData>
    <row r="2" spans="1:9" ht="15.75" x14ac:dyDescent="0.25">
      <c r="A2" s="1780" t="s">
        <v>369</v>
      </c>
      <c r="B2" s="1780"/>
      <c r="C2" s="1780"/>
      <c r="D2" s="1780"/>
      <c r="E2" s="1780"/>
      <c r="F2" s="1780"/>
      <c r="G2" s="1780"/>
    </row>
    <row r="3" spans="1:9" ht="15.75" x14ac:dyDescent="0.25">
      <c r="A3" s="1781" t="str">
        <f>'Проверочная  таблица'!E3</f>
        <v>ПО  СОСТОЯНИЮ  НА  1  ИЮЛЯ  2024  ГОДА</v>
      </c>
      <c r="B3" s="1781"/>
      <c r="C3" s="1781"/>
      <c r="D3" s="1781"/>
      <c r="E3" s="1781"/>
      <c r="F3" s="1781"/>
      <c r="G3" s="1781"/>
    </row>
    <row r="4" spans="1:9" ht="15.75" x14ac:dyDescent="0.25">
      <c r="A4" s="1794" t="s">
        <v>370</v>
      </c>
      <c r="B4" s="1794"/>
      <c r="C4" s="1794"/>
      <c r="D4" s="1794"/>
      <c r="E4" s="1794"/>
      <c r="F4" s="1794"/>
      <c r="G4" s="1794"/>
    </row>
    <row r="6" spans="1:9" x14ac:dyDescent="0.25">
      <c r="F6" s="244" t="s">
        <v>371</v>
      </c>
    </row>
    <row r="7" spans="1:9" s="245" customFormat="1" ht="25.5" x14ac:dyDescent="0.25">
      <c r="A7" s="240" t="s">
        <v>372</v>
      </c>
      <c r="B7" s="240" t="s">
        <v>357</v>
      </c>
      <c r="C7" s="240" t="s">
        <v>358</v>
      </c>
      <c r="D7" s="240" t="s">
        <v>359</v>
      </c>
      <c r="E7" s="240" t="s">
        <v>364</v>
      </c>
      <c r="F7" s="240" t="s">
        <v>365</v>
      </c>
      <c r="G7" s="240" t="s">
        <v>373</v>
      </c>
      <c r="I7" s="246"/>
    </row>
    <row r="8" spans="1:9" s="245" customFormat="1" x14ac:dyDescent="0.25">
      <c r="A8" s="247" t="s">
        <v>374</v>
      </c>
      <c r="B8" s="248" t="s">
        <v>375</v>
      </c>
      <c r="C8" s="249"/>
      <c r="D8" s="250">
        <f>SUM(D10:D13)</f>
        <v>255430423</v>
      </c>
      <c r="E8" s="250">
        <f t="shared" ref="E8:G8" si="0">SUM(E10:E13)</f>
        <v>131408583.34999999</v>
      </c>
      <c r="F8" s="250">
        <f t="shared" si="0"/>
        <v>31406220.010000005</v>
      </c>
      <c r="G8" s="250">
        <f t="shared" si="0"/>
        <v>124021839.65000001</v>
      </c>
      <c r="H8" s="251">
        <f>IF(F8&gt;E8,1,0)</f>
        <v>0</v>
      </c>
      <c r="I8" s="251">
        <f>IF(G8&lt;0,1,0)</f>
        <v>0</v>
      </c>
    </row>
    <row r="9" spans="1:9" s="245" customFormat="1" x14ac:dyDescent="0.25">
      <c r="A9" s="252"/>
      <c r="B9" s="240" t="s">
        <v>376</v>
      </c>
      <c r="C9" s="217"/>
      <c r="D9" s="217"/>
      <c r="E9" s="253"/>
      <c r="F9" s="253"/>
      <c r="G9" s="217"/>
      <c r="H9" s="251">
        <f>IF(F9&gt;E9,1,0)</f>
        <v>0</v>
      </c>
      <c r="I9" s="251">
        <f>IF(G9&lt;0,1,0)</f>
        <v>0</v>
      </c>
    </row>
    <row r="10" spans="1:9" s="245" customFormat="1" ht="127.5" x14ac:dyDescent="0.25">
      <c r="A10" s="254"/>
      <c r="B10" s="255" t="s">
        <v>377</v>
      </c>
      <c r="C10" s="256" t="s">
        <v>378</v>
      </c>
      <c r="D10" s="257"/>
      <c r="E10" s="258">
        <f>'Проверочная  таблица'!YF38</f>
        <v>0</v>
      </c>
      <c r="F10" s="258">
        <f>'Проверочная  таблица'!YQ38</f>
        <v>0</v>
      </c>
      <c r="G10" s="259">
        <f>D10-E10</f>
        <v>0</v>
      </c>
      <c r="H10" s="251">
        <f>IF(F10&gt;E10,1,0)</f>
        <v>0</v>
      </c>
      <c r="I10" s="251">
        <f>IF(G10&lt;0,1,0)</f>
        <v>0</v>
      </c>
    </row>
    <row r="11" spans="1:9" s="245" customFormat="1" ht="140.25" x14ac:dyDescent="0.25">
      <c r="A11" s="254"/>
      <c r="B11" s="255" t="s">
        <v>379</v>
      </c>
      <c r="C11" s="256" t="s">
        <v>380</v>
      </c>
      <c r="D11" s="257">
        <v>35500000</v>
      </c>
      <c r="E11" s="258">
        <f>'Проверочная  таблица'!YG38</f>
        <v>0</v>
      </c>
      <c r="F11" s="258">
        <f>'Проверочная  таблица'!YR38</f>
        <v>0</v>
      </c>
      <c r="G11" s="259">
        <f>D11-E11</f>
        <v>35500000</v>
      </c>
      <c r="H11" s="251">
        <f>IF(F11&gt;E11,1,0)</f>
        <v>0</v>
      </c>
      <c r="I11" s="251">
        <f>IF(G11&lt;0,1,0)</f>
        <v>0</v>
      </c>
    </row>
    <row r="12" spans="1:9" s="245" customFormat="1" ht="114.75" x14ac:dyDescent="0.25">
      <c r="A12" s="254"/>
      <c r="B12" s="255" t="s">
        <v>381</v>
      </c>
      <c r="C12" s="256" t="s">
        <v>382</v>
      </c>
      <c r="D12" s="257">
        <f>50000000+65369380+104561043</f>
        <v>219930423</v>
      </c>
      <c r="E12" s="258">
        <f>'Проверочная  таблица'!YH39</f>
        <v>131408583.34999999</v>
      </c>
      <c r="F12" s="258">
        <f>'Проверочная  таблица'!YS39</f>
        <v>31406220.010000005</v>
      </c>
      <c r="G12" s="259">
        <f>D12-E12</f>
        <v>88521839.650000006</v>
      </c>
      <c r="H12" s="251">
        <f>IF(F12&gt;E12,1,0)</f>
        <v>0</v>
      </c>
      <c r="I12" s="251">
        <f>IF(G12&lt;0,1,0)</f>
        <v>0</v>
      </c>
    </row>
    <row r="13" spans="1:9" s="245" customFormat="1" x14ac:dyDescent="0.25">
      <c r="A13" s="240"/>
      <c r="B13" s="240"/>
      <c r="C13" s="240"/>
      <c r="D13" s="240"/>
      <c r="E13" s="240"/>
      <c r="F13" s="240"/>
      <c r="G13" s="240"/>
      <c r="I13" s="246"/>
    </row>
    <row r="14" spans="1:9" s="245" customFormat="1" x14ac:dyDescent="0.25">
      <c r="A14" s="247" t="s">
        <v>383</v>
      </c>
      <c r="B14" s="248" t="s">
        <v>384</v>
      </c>
      <c r="C14" s="249"/>
      <c r="D14" s="250">
        <f>SUM(D16:D18)</f>
        <v>521984357.69</v>
      </c>
      <c r="E14" s="250">
        <f t="shared" ref="E14:G14" si="1">SUM(E16:E18)</f>
        <v>521984357.69</v>
      </c>
      <c r="F14" s="250">
        <f t="shared" si="1"/>
        <v>318010628.86000001</v>
      </c>
      <c r="G14" s="250">
        <f t="shared" si="1"/>
        <v>0</v>
      </c>
      <c r="H14" s="251">
        <f>IF(F14&gt;E14,1,0)</f>
        <v>0</v>
      </c>
      <c r="I14" s="251">
        <f>IF(G14&lt;0,1,0)</f>
        <v>0</v>
      </c>
    </row>
    <row r="15" spans="1:9" s="245" customFormat="1" x14ac:dyDescent="0.25">
      <c r="A15" s="252"/>
      <c r="B15" s="240" t="s">
        <v>376</v>
      </c>
      <c r="C15" s="217"/>
      <c r="D15" s="217"/>
      <c r="E15" s="253"/>
      <c r="F15" s="253"/>
      <c r="G15" s="217"/>
      <c r="H15" s="251">
        <f>IF(F15&gt;E15,1,0)</f>
        <v>0</v>
      </c>
      <c r="I15" s="251">
        <f>IF(G15&lt;0,1,0)</f>
        <v>0</v>
      </c>
    </row>
    <row r="16" spans="1:9" s="245" customFormat="1" ht="178.5" x14ac:dyDescent="0.25">
      <c r="A16" s="254"/>
      <c r="B16" s="255" t="s">
        <v>385</v>
      </c>
      <c r="C16" s="260" t="s">
        <v>386</v>
      </c>
      <c r="D16" s="257">
        <v>355374797.69</v>
      </c>
      <c r="E16" s="258">
        <f>'Проверочная  таблица'!YB38</f>
        <v>355374797.69</v>
      </c>
      <c r="F16" s="258">
        <f>'Проверочная  таблица'!YM38</f>
        <v>151401068.86000001</v>
      </c>
      <c r="G16" s="259">
        <f>D16-E16</f>
        <v>0</v>
      </c>
      <c r="H16" s="251">
        <f>IF(F16&gt;E16,1,0)</f>
        <v>0</v>
      </c>
      <c r="I16" s="251">
        <f>IF(G16&lt;0,1,0)</f>
        <v>0</v>
      </c>
    </row>
    <row r="17" spans="1:10" s="245" customFormat="1" ht="140.25" x14ac:dyDescent="0.25">
      <c r="A17" s="254"/>
      <c r="B17" s="255" t="s">
        <v>387</v>
      </c>
      <c r="C17" s="260" t="s">
        <v>388</v>
      </c>
      <c r="D17" s="257">
        <v>166609560</v>
      </c>
      <c r="E17" s="258">
        <f>'Проверочная  таблица'!YC39</f>
        <v>166609560</v>
      </c>
      <c r="F17" s="258">
        <f>'Проверочная  таблица'!YN39</f>
        <v>166609560</v>
      </c>
      <c r="G17" s="259">
        <f>D17-E17</f>
        <v>0</v>
      </c>
      <c r="H17" s="251">
        <f t="shared" ref="H17:H18" si="2">IF(F17&gt;E17,1,0)</f>
        <v>0</v>
      </c>
      <c r="I17" s="251">
        <f t="shared" ref="I17:I18" si="3">IF(G17&lt;0,1,0)</f>
        <v>0</v>
      </c>
    </row>
    <row r="18" spans="1:10" s="245" customFormat="1" x14ac:dyDescent="0.25">
      <c r="A18" s="254"/>
      <c r="B18" s="255"/>
      <c r="C18" s="260"/>
      <c r="D18" s="261"/>
      <c r="E18" s="258"/>
      <c r="F18" s="258"/>
      <c r="G18" s="259"/>
      <c r="H18" s="251">
        <f t="shared" si="2"/>
        <v>0</v>
      </c>
      <c r="I18" s="251">
        <f t="shared" si="3"/>
        <v>0</v>
      </c>
    </row>
    <row r="19" spans="1:10" x14ac:dyDescent="0.25">
      <c r="A19" s="247" t="s">
        <v>10</v>
      </c>
      <c r="B19" s="248" t="s">
        <v>389</v>
      </c>
      <c r="C19" s="249"/>
      <c r="D19" s="250">
        <f>SUM(D21:D24)</f>
        <v>345237041.68999994</v>
      </c>
      <c r="E19" s="250">
        <f>SUM(E21:E24)</f>
        <v>343580265.72999996</v>
      </c>
      <c r="F19" s="250">
        <f>SUM(F21:F24)</f>
        <v>37653756.109999999</v>
      </c>
      <c r="G19" s="250">
        <f>SUM(G21:G24)</f>
        <v>1656775.9599999934</v>
      </c>
      <c r="H19" s="251">
        <f>IF(F19&gt;E19,1,0)</f>
        <v>0</v>
      </c>
      <c r="I19" s="251">
        <f>IF(G19&lt;0,1,0)</f>
        <v>0</v>
      </c>
    </row>
    <row r="20" spans="1:10" x14ac:dyDescent="0.25">
      <c r="A20" s="252"/>
      <c r="B20" s="240" t="s">
        <v>376</v>
      </c>
      <c r="C20" s="217"/>
      <c r="D20" s="217"/>
      <c r="E20" s="253"/>
      <c r="F20" s="253"/>
      <c r="G20" s="217"/>
      <c r="H20" s="251">
        <f>IF(F20&gt;E20,1,0)</f>
        <v>0</v>
      </c>
      <c r="I20" s="251">
        <f>IF(G20&lt;0,1,0)</f>
        <v>0</v>
      </c>
    </row>
    <row r="21" spans="1:10" ht="127.5" x14ac:dyDescent="0.25">
      <c r="A21" s="252"/>
      <c r="B21" s="255" t="s">
        <v>390</v>
      </c>
      <c r="C21" s="256" t="s">
        <v>391</v>
      </c>
      <c r="D21" s="262">
        <v>240950249.08000001</v>
      </c>
      <c r="E21" s="263">
        <f>'Проверочная  таблица'!XM39</f>
        <v>240950249.07999998</v>
      </c>
      <c r="F21" s="263">
        <f>'Проверочная  таблица'!XO39</f>
        <v>7504113.5299999993</v>
      </c>
      <c r="G21" s="259">
        <f t="shared" ref="G21" si="4">D21-E21</f>
        <v>0</v>
      </c>
      <c r="H21" s="251">
        <f>IF(F21&gt;E21,1,0)</f>
        <v>0</v>
      </c>
      <c r="I21" s="251">
        <f>IF(G21&lt;0,1,0)</f>
        <v>0</v>
      </c>
    </row>
    <row r="22" spans="1:10" ht="89.25" x14ac:dyDescent="0.25">
      <c r="A22" s="252"/>
      <c r="B22" s="255" t="s">
        <v>392</v>
      </c>
      <c r="C22" s="256" t="s">
        <v>393</v>
      </c>
      <c r="D22" s="262">
        <f>87341721.71-27073280.76</f>
        <v>60268440.949999988</v>
      </c>
      <c r="E22" s="263">
        <f>'Проверочная  таблица'!YA39</f>
        <v>60268440.949999996</v>
      </c>
      <c r="F22" s="263">
        <f>'Проверочная  таблица'!YL39</f>
        <v>30149642.579999998</v>
      </c>
      <c r="G22" s="259">
        <f>D22-E22</f>
        <v>0</v>
      </c>
      <c r="H22" s="251">
        <f>IF(F22&gt;E22,1,0)</f>
        <v>0</v>
      </c>
      <c r="I22" s="251">
        <f>IF(G22&lt;0,1,0)</f>
        <v>0</v>
      </c>
    </row>
    <row r="23" spans="1:10" ht="102" x14ac:dyDescent="0.25">
      <c r="A23" s="1108"/>
      <c r="B23" s="255" t="s">
        <v>411</v>
      </c>
      <c r="C23" s="256" t="s">
        <v>412</v>
      </c>
      <c r="D23" s="257">
        <v>44018351.659999996</v>
      </c>
      <c r="E23" s="1107">
        <f>Бюджетирование!F30</f>
        <v>42361575.700000003</v>
      </c>
      <c r="F23" s="1107">
        <f>Бюджетирование!G30</f>
        <v>0</v>
      </c>
      <c r="G23" s="259">
        <f>D23-E23</f>
        <v>1656775.9599999934</v>
      </c>
      <c r="H23" s="251">
        <f>IF(F23&gt;E23,1,0)</f>
        <v>0</v>
      </c>
      <c r="I23" s="251">
        <f>IF(G23&lt;0,1,0)</f>
        <v>0</v>
      </c>
    </row>
    <row r="24" spans="1:10" x14ac:dyDescent="0.25">
      <c r="A24" s="252"/>
      <c r="B24" s="255"/>
      <c r="C24" s="256"/>
      <c r="D24" s="262"/>
      <c r="E24" s="263"/>
      <c r="F24" s="263"/>
      <c r="G24" s="259"/>
      <c r="H24" s="251"/>
      <c r="I24" s="251"/>
    </row>
    <row r="25" spans="1:10" x14ac:dyDescent="0.25">
      <c r="A25" s="247" t="s">
        <v>394</v>
      </c>
      <c r="B25" s="248" t="s">
        <v>395</v>
      </c>
      <c r="C25" s="249"/>
      <c r="D25" s="250">
        <f>SUM(D27:D31)</f>
        <v>1089958130.1599998</v>
      </c>
      <c r="E25" s="250">
        <f t="shared" ref="E25:G25" si="5">SUM(E27:E31)</f>
        <v>979440275.15999997</v>
      </c>
      <c r="F25" s="250">
        <f t="shared" si="5"/>
        <v>459748106.74999994</v>
      </c>
      <c r="G25" s="250">
        <f t="shared" si="5"/>
        <v>110517855</v>
      </c>
      <c r="H25" s="251">
        <f>IF(F25&gt;E25,1,0)</f>
        <v>0</v>
      </c>
      <c r="I25" s="251">
        <f>IF(G25&lt;0,1,0)</f>
        <v>0</v>
      </c>
    </row>
    <row r="26" spans="1:10" x14ac:dyDescent="0.25">
      <c r="A26" s="252"/>
      <c r="B26" s="240" t="s">
        <v>376</v>
      </c>
      <c r="C26" s="217"/>
      <c r="D26" s="217"/>
      <c r="E26" s="253"/>
      <c r="F26" s="253"/>
      <c r="G26" s="217"/>
      <c r="H26" s="251">
        <f>IF(F26&gt;E26,1,0)</f>
        <v>0</v>
      </c>
      <c r="I26" s="251">
        <f>IF(G26&lt;0,1,0)</f>
        <v>0</v>
      </c>
    </row>
    <row r="27" spans="1:10" ht="178.5" x14ac:dyDescent="0.25">
      <c r="A27" s="252"/>
      <c r="B27" s="255" t="s">
        <v>396</v>
      </c>
      <c r="C27" s="256" t="s">
        <v>397</v>
      </c>
      <c r="D27" s="262"/>
      <c r="E27" s="263">
        <f>'Проверочная  таблица'!XG38</f>
        <v>0</v>
      </c>
      <c r="F27" s="263">
        <f>'Проверочная  таблица'!XJ38</f>
        <v>0</v>
      </c>
      <c r="G27" s="259">
        <f>D27-E27</f>
        <v>0</v>
      </c>
      <c r="H27" s="251">
        <f>IF(F27&gt;E27,1,0)</f>
        <v>0</v>
      </c>
      <c r="I27" s="251">
        <f>IF(G27&lt;0,1,0)</f>
        <v>0</v>
      </c>
      <c r="J27" s="264">
        <f>D27+D28</f>
        <v>533442400</v>
      </c>
    </row>
    <row r="28" spans="1:10" s="272" customFormat="1" ht="14.25" x14ac:dyDescent="0.25">
      <c r="A28" s="265"/>
      <c r="B28" s="266" t="s">
        <v>398</v>
      </c>
      <c r="C28" s="267" t="s">
        <v>397</v>
      </c>
      <c r="D28" s="268">
        <f>483719000+49723400</f>
        <v>533442400</v>
      </c>
      <c r="E28" s="269">
        <f>'Проверочная  таблица'!XH38</f>
        <v>483719000</v>
      </c>
      <c r="F28" s="269">
        <f>'Проверочная  таблица'!XK38</f>
        <v>407056689.56999993</v>
      </c>
      <c r="G28" s="270">
        <f t="shared" ref="G28" si="6">D28-E28</f>
        <v>49723400</v>
      </c>
      <c r="H28" s="271">
        <f t="shared" ref="H28" si="7">IF(F28&gt;E28,1,0)</f>
        <v>0</v>
      </c>
      <c r="I28" s="271">
        <f t="shared" ref="I28" si="8">IF(G28&lt;0,1,0)</f>
        <v>0</v>
      </c>
    </row>
    <row r="29" spans="1:10" ht="89.25" x14ac:dyDescent="0.25">
      <c r="A29" s="252"/>
      <c r="B29" s="255" t="s">
        <v>399</v>
      </c>
      <c r="C29" s="256" t="s">
        <v>400</v>
      </c>
      <c r="D29" s="262">
        <f>100000000+16188782.79+410000000-29000000</f>
        <v>497188782.78999996</v>
      </c>
      <c r="E29" s="263">
        <f>'Проверочная  таблица'!XZ38</f>
        <v>436394327.78999996</v>
      </c>
      <c r="F29" s="263">
        <f>'Проверочная  таблица'!YK38</f>
        <v>16188782.789999999</v>
      </c>
      <c r="G29" s="259">
        <f>D29-E29</f>
        <v>60794455</v>
      </c>
      <c r="H29" s="251">
        <f>IF(F29&gt;E29,1,0)</f>
        <v>0</v>
      </c>
      <c r="I29" s="251">
        <f>IF(G29&lt;0,1,0)</f>
        <v>0</v>
      </c>
      <c r="J29" s="1153"/>
    </row>
    <row r="30" spans="1:10" ht="114.75" x14ac:dyDescent="0.25">
      <c r="A30" s="252"/>
      <c r="B30" s="255" t="s">
        <v>401</v>
      </c>
      <c r="C30" s="256" t="s">
        <v>402</v>
      </c>
      <c r="D30" s="262">
        <v>2966347.37</v>
      </c>
      <c r="E30" s="263">
        <f>'Проверочная  таблица'!XA38</f>
        <v>2966347.37</v>
      </c>
      <c r="F30" s="263">
        <f>'Проверочная  таблица'!XD38</f>
        <v>1825131.81</v>
      </c>
      <c r="G30" s="259">
        <f t="shared" ref="G30:G31" si="9">D30-E30</f>
        <v>0</v>
      </c>
      <c r="H30" s="251">
        <f t="shared" ref="H30:H37" si="10">IF(F30&gt;E30,1,0)</f>
        <v>0</v>
      </c>
      <c r="I30" s="251">
        <f t="shared" ref="I30:I37" si="11">IF(G30&lt;0,1,0)</f>
        <v>0</v>
      </c>
      <c r="J30" s="273">
        <f>D30+D31</f>
        <v>59326947.369999997</v>
      </c>
    </row>
    <row r="31" spans="1:10" ht="14.25" x14ac:dyDescent="0.25">
      <c r="A31" s="265"/>
      <c r="B31" s="266" t="s">
        <v>398</v>
      </c>
      <c r="C31" s="267" t="s">
        <v>402</v>
      </c>
      <c r="D31" s="268">
        <v>56360600</v>
      </c>
      <c r="E31" s="274">
        <f>'Проверочная  таблица'!XB38</f>
        <v>56360600</v>
      </c>
      <c r="F31" s="274">
        <f>'Проверочная  таблица'!XE38</f>
        <v>34677502.580000006</v>
      </c>
      <c r="G31" s="270">
        <f t="shared" si="9"/>
        <v>0</v>
      </c>
      <c r="H31" s="271">
        <f t="shared" si="10"/>
        <v>0</v>
      </c>
      <c r="I31" s="271">
        <f t="shared" si="11"/>
        <v>0</v>
      </c>
    </row>
    <row r="32" spans="1:10" x14ac:dyDescent="0.25">
      <c r="A32" s="254"/>
      <c r="B32" s="255"/>
      <c r="C32" s="256"/>
      <c r="D32" s="257"/>
      <c r="E32" s="275"/>
      <c r="F32" s="275"/>
      <c r="G32" s="259"/>
      <c r="H32" s="271">
        <f t="shared" si="10"/>
        <v>0</v>
      </c>
      <c r="I32" s="271">
        <f t="shared" si="11"/>
        <v>0</v>
      </c>
    </row>
    <row r="33" spans="1:10" x14ac:dyDescent="0.25">
      <c r="A33" s="247" t="s">
        <v>403</v>
      </c>
      <c r="B33" s="248" t="s">
        <v>404</v>
      </c>
      <c r="C33" s="276"/>
      <c r="D33" s="277">
        <f>D35+D36</f>
        <v>96014740</v>
      </c>
      <c r="E33" s="277">
        <f>E35+E36</f>
        <v>96014740</v>
      </c>
      <c r="F33" s="277">
        <f>F35+F36</f>
        <v>877099.58</v>
      </c>
      <c r="G33" s="277">
        <f>G35+G36</f>
        <v>0</v>
      </c>
      <c r="H33" s="271">
        <f t="shared" si="10"/>
        <v>0</v>
      </c>
      <c r="I33" s="271">
        <f t="shared" si="11"/>
        <v>0</v>
      </c>
    </row>
    <row r="34" spans="1:10" x14ac:dyDescent="0.25">
      <c r="A34" s="254"/>
      <c r="B34" s="240" t="s">
        <v>376</v>
      </c>
      <c r="C34" s="278"/>
      <c r="D34" s="279"/>
      <c r="E34" s="275"/>
      <c r="F34" s="275"/>
      <c r="G34" s="259"/>
      <c r="H34" s="271">
        <f t="shared" si="10"/>
        <v>0</v>
      </c>
      <c r="I34" s="271">
        <f t="shared" si="11"/>
        <v>0</v>
      </c>
    </row>
    <row r="35" spans="1:10" ht="89.25" x14ac:dyDescent="0.25">
      <c r="A35" s="254"/>
      <c r="B35" s="280" t="s">
        <v>405</v>
      </c>
      <c r="C35" s="256" t="s">
        <v>406</v>
      </c>
      <c r="D35" s="279">
        <v>4800739.34</v>
      </c>
      <c r="E35" s="281">
        <f>'Проверочная  таблица'!WU38</f>
        <v>4800739.34</v>
      </c>
      <c r="F35" s="281">
        <f>'Проверочная  таблица'!WX38</f>
        <v>43855.01</v>
      </c>
      <c r="G35" s="259">
        <f t="shared" ref="G35" si="12">D35-E35</f>
        <v>0</v>
      </c>
      <c r="H35" s="271">
        <f t="shared" si="10"/>
        <v>0</v>
      </c>
      <c r="I35" s="271">
        <f t="shared" si="11"/>
        <v>0</v>
      </c>
      <c r="J35" s="273">
        <f>D35+D36</f>
        <v>96014740</v>
      </c>
    </row>
    <row r="36" spans="1:10" x14ac:dyDescent="0.25">
      <c r="A36" s="282"/>
      <c r="B36" s="266" t="s">
        <v>398</v>
      </c>
      <c r="C36" s="283" t="s">
        <v>406</v>
      </c>
      <c r="D36" s="284">
        <v>91214000.659999996</v>
      </c>
      <c r="E36" s="269">
        <f>'Проверочная  таблица'!WV38</f>
        <v>91214000.659999996</v>
      </c>
      <c r="F36" s="269">
        <f>'Проверочная  таблица'!WY38</f>
        <v>833244.57</v>
      </c>
      <c r="G36" s="270">
        <f>D36-E36</f>
        <v>0</v>
      </c>
      <c r="H36" s="271">
        <f t="shared" si="10"/>
        <v>0</v>
      </c>
      <c r="I36" s="271">
        <f t="shared" si="11"/>
        <v>0</v>
      </c>
    </row>
    <row r="37" spans="1:10" x14ac:dyDescent="0.25">
      <c r="A37" s="254"/>
      <c r="B37" s="255"/>
      <c r="C37" s="256"/>
      <c r="D37" s="257"/>
      <c r="E37" s="275"/>
      <c r="F37" s="275"/>
      <c r="G37" s="259"/>
      <c r="H37" s="271">
        <f t="shared" si="10"/>
        <v>0</v>
      </c>
      <c r="I37" s="271">
        <f t="shared" si="11"/>
        <v>0</v>
      </c>
    </row>
    <row r="38" spans="1:10" x14ac:dyDescent="0.25">
      <c r="A38" s="247">
        <v>1102</v>
      </c>
      <c r="B38" s="248" t="s">
        <v>407</v>
      </c>
      <c r="C38" s="249"/>
      <c r="D38" s="250">
        <f>SUM(D40:D42)</f>
        <v>346047294.10000002</v>
      </c>
      <c r="E38" s="250">
        <f t="shared" ref="E38:G38" si="13">SUM(E40:E42)</f>
        <v>335640263.04000002</v>
      </c>
      <c r="F38" s="250">
        <f t="shared" si="13"/>
        <v>132231129.48</v>
      </c>
      <c r="G38" s="250">
        <f t="shared" si="13"/>
        <v>10407031.060000001</v>
      </c>
      <c r="H38" s="251">
        <f>IF(F38&gt;E38,1,0)</f>
        <v>0</v>
      </c>
      <c r="I38" s="251">
        <f>IF(G38&lt;0,1,0)</f>
        <v>0</v>
      </c>
    </row>
    <row r="39" spans="1:10" x14ac:dyDescent="0.25">
      <c r="A39" s="252"/>
      <c r="B39" s="240" t="s">
        <v>376</v>
      </c>
      <c r="C39" s="217"/>
      <c r="D39" s="217"/>
      <c r="E39" s="253"/>
      <c r="F39" s="253"/>
      <c r="G39" s="217"/>
      <c r="H39" s="251">
        <f>IF(F39&gt;E39,1,0)</f>
        <v>0</v>
      </c>
      <c r="I39" s="251">
        <f>IF(G39&lt;0,1,0)</f>
        <v>0</v>
      </c>
    </row>
    <row r="40" spans="1:10" ht="76.5" x14ac:dyDescent="0.25">
      <c r="A40" s="254"/>
      <c r="B40" s="255" t="s">
        <v>408</v>
      </c>
      <c r="C40" s="256" t="s">
        <v>409</v>
      </c>
      <c r="D40" s="257">
        <v>335640263.04000002</v>
      </c>
      <c r="E40" s="258">
        <f>'Проверочная  таблица'!XY38</f>
        <v>335640263.04000002</v>
      </c>
      <c r="F40" s="258">
        <f>'Проверочная  таблица'!YJ38</f>
        <v>132231129.48</v>
      </c>
      <c r="G40" s="259">
        <f>D40-E40</f>
        <v>0</v>
      </c>
      <c r="H40" s="251">
        <f>IF(F40&gt;E40,1,0)</f>
        <v>0</v>
      </c>
      <c r="I40" s="251">
        <f>IF(G40&lt;0,1,0)</f>
        <v>0</v>
      </c>
    </row>
    <row r="41" spans="1:10" ht="102" x14ac:dyDescent="0.25">
      <c r="A41" s="1106"/>
      <c r="B41" s="255" t="s">
        <v>411</v>
      </c>
      <c r="C41" s="256" t="s">
        <v>412</v>
      </c>
      <c r="D41" s="257">
        <v>10407031.060000001</v>
      </c>
      <c r="E41" s="1107">
        <f>Бюджетирование!F31</f>
        <v>0</v>
      </c>
      <c r="F41" s="1107">
        <f>Бюджетирование!G31</f>
        <v>0</v>
      </c>
      <c r="G41" s="259">
        <f>D41-E41</f>
        <v>10407031.060000001</v>
      </c>
      <c r="H41" s="251">
        <f>IF(F41&gt;E41,1,0)</f>
        <v>0</v>
      </c>
      <c r="I41" s="251">
        <f>IF(G41&lt;0,1,0)</f>
        <v>0</v>
      </c>
    </row>
    <row r="42" spans="1:10" x14ac:dyDescent="0.25">
      <c r="A42" s="254"/>
      <c r="B42" s="255"/>
      <c r="C42" s="256"/>
      <c r="D42" s="257"/>
      <c r="E42" s="258"/>
      <c r="F42" s="258"/>
      <c r="G42" s="259"/>
      <c r="H42" s="251"/>
      <c r="I42" s="251"/>
    </row>
    <row r="43" spans="1:10" hidden="1" x14ac:dyDescent="0.25">
      <c r="A43" s="247">
        <v>1402</v>
      </c>
      <c r="B43" s="248" t="s">
        <v>410</v>
      </c>
      <c r="C43" s="249"/>
      <c r="D43" s="250">
        <f>SUM(D45:D45)</f>
        <v>0</v>
      </c>
      <c r="E43" s="250">
        <f>SUM(E45:E45)</f>
        <v>0</v>
      </c>
      <c r="F43" s="250">
        <f>SUM(F45:F45)</f>
        <v>0</v>
      </c>
      <c r="G43" s="250">
        <f>SUM(G45:G45)</f>
        <v>0</v>
      </c>
      <c r="H43" s="251">
        <f>IF(F43&gt;E43,1,0)</f>
        <v>0</v>
      </c>
      <c r="I43" s="251">
        <f>IF(G43&lt;0,1,0)</f>
        <v>0</v>
      </c>
    </row>
    <row r="44" spans="1:10" hidden="1" x14ac:dyDescent="0.25">
      <c r="A44" s="252"/>
      <c r="B44" s="240" t="s">
        <v>376</v>
      </c>
      <c r="C44" s="217"/>
      <c r="D44" s="217"/>
      <c r="E44" s="253"/>
      <c r="F44" s="253"/>
      <c r="G44" s="217"/>
      <c r="H44" s="251">
        <f>IF(F44&gt;E44,1,0)</f>
        <v>0</v>
      </c>
      <c r="I44" s="251">
        <f>IF(G44&lt;0,1,0)</f>
        <v>0</v>
      </c>
    </row>
    <row r="45" spans="1:10" ht="102" hidden="1" x14ac:dyDescent="0.25">
      <c r="A45" s="254"/>
      <c r="B45" s="255" t="s">
        <v>411</v>
      </c>
      <c r="C45" s="256" t="s">
        <v>412</v>
      </c>
      <c r="D45" s="257"/>
      <c r="E45" s="1107"/>
      <c r="F45" s="1107"/>
      <c r="G45" s="259">
        <f>D45-E45</f>
        <v>0</v>
      </c>
      <c r="H45" s="251">
        <f>IF(F45&gt;E45,1,0)</f>
        <v>0</v>
      </c>
      <c r="I45" s="251">
        <f>IF(G45&lt;0,1,0)</f>
        <v>0</v>
      </c>
    </row>
    <row r="46" spans="1:10" hidden="1" x14ac:dyDescent="0.25">
      <c r="A46" s="254"/>
      <c r="B46" s="255"/>
      <c r="C46" s="256"/>
      <c r="D46" s="257"/>
      <c r="E46" s="258"/>
      <c r="F46" s="258"/>
      <c r="G46" s="259"/>
      <c r="H46" s="251"/>
      <c r="I46" s="251"/>
    </row>
    <row r="47" spans="1:10" ht="25.5" x14ac:dyDescent="0.25">
      <c r="A47" s="247">
        <v>1403</v>
      </c>
      <c r="B47" s="248" t="s">
        <v>413</v>
      </c>
      <c r="C47" s="249"/>
      <c r="D47" s="250">
        <f>SUM(D49:D50)</f>
        <v>725063223.83000004</v>
      </c>
      <c r="E47" s="250">
        <f t="shared" ref="E47:G47" si="14">SUM(E49:E50)</f>
        <v>650488606.54999995</v>
      </c>
      <c r="F47" s="250">
        <f t="shared" si="14"/>
        <v>27738516.010000002</v>
      </c>
      <c r="G47" s="250">
        <f t="shared" si="14"/>
        <v>74574617.280000001</v>
      </c>
      <c r="H47" s="251">
        <f>IF(F47&gt;E47,1,0)</f>
        <v>0</v>
      </c>
      <c r="I47" s="251">
        <f>IF(G47&lt;0,1,0)</f>
        <v>0</v>
      </c>
    </row>
    <row r="48" spans="1:10" x14ac:dyDescent="0.25">
      <c r="A48" s="252"/>
      <c r="B48" s="240" t="s">
        <v>376</v>
      </c>
      <c r="C48" s="217"/>
      <c r="D48" s="217"/>
      <c r="E48" s="253"/>
      <c r="F48" s="253"/>
      <c r="G48" s="217"/>
      <c r="H48" s="251">
        <f>IF(F48&gt;E48,1,0)</f>
        <v>0</v>
      </c>
      <c r="I48" s="251">
        <f>IF(G48&lt;0,1,0)</f>
        <v>0</v>
      </c>
    </row>
    <row r="49" spans="1:9" ht="127.5" x14ac:dyDescent="0.25">
      <c r="A49" s="254"/>
      <c r="B49" s="255" t="s">
        <v>414</v>
      </c>
      <c r="C49" s="256" t="s">
        <v>415</v>
      </c>
      <c r="D49" s="257">
        <f>500000000+140000000+29000000</f>
        <v>669000000</v>
      </c>
      <c r="E49" s="258">
        <f>'Проверочная  таблица'!YD39</f>
        <v>640000000</v>
      </c>
      <c r="F49" s="258">
        <f>'Проверочная  таблица'!YO39</f>
        <v>17249909.460000001</v>
      </c>
      <c r="G49" s="259">
        <f>D49-E49</f>
        <v>29000000</v>
      </c>
      <c r="H49" s="251">
        <f>IF(F49&gt;E49,1,0)</f>
        <v>0</v>
      </c>
      <c r="I49" s="251">
        <f>IF(G49&lt;0,1,0)</f>
        <v>0</v>
      </c>
    </row>
    <row r="50" spans="1:9" ht="102" x14ac:dyDescent="0.25">
      <c r="A50" s="1021"/>
      <c r="B50" s="255" t="s">
        <v>411</v>
      </c>
      <c r="C50" s="256" t="s">
        <v>412</v>
      </c>
      <c r="D50" s="257">
        <f>10488606.55+45574617.28</f>
        <v>56063223.829999998</v>
      </c>
      <c r="E50" s="1107">
        <f>Бюджетирование!F32</f>
        <v>10488606.550000001</v>
      </c>
      <c r="F50" s="1107">
        <f>Бюджетирование!G32</f>
        <v>10488606.550000001</v>
      </c>
      <c r="G50" s="259">
        <f>D50-E50</f>
        <v>45574617.280000001</v>
      </c>
      <c r="H50" s="251">
        <f>IF(F50&gt;E50,1,0)</f>
        <v>0</v>
      </c>
      <c r="I50" s="251">
        <f>IF(G50&lt;0,1,0)</f>
        <v>0</v>
      </c>
    </row>
    <row r="51" spans="1:9" x14ac:dyDescent="0.25">
      <c r="A51" s="254"/>
      <c r="B51" s="255"/>
      <c r="C51" s="256"/>
      <c r="D51" s="257"/>
      <c r="E51" s="275"/>
      <c r="F51" s="275"/>
      <c r="G51" s="259"/>
      <c r="H51" s="251"/>
      <c r="I51" s="251"/>
    </row>
    <row r="52" spans="1:9" s="287" customFormat="1" x14ac:dyDescent="0.25">
      <c r="A52" s="1795" t="s">
        <v>31</v>
      </c>
      <c r="B52" s="1795"/>
      <c r="C52" s="285"/>
      <c r="D52" s="285">
        <f>D25+D19+D38+D14+D47+D33+D8+D43</f>
        <v>3379735210.4699998</v>
      </c>
      <c r="E52" s="285">
        <f t="shared" ref="E52:G52" si="15">E25+E19+E38+E14+E47+E33+E8+E43</f>
        <v>3058557091.52</v>
      </c>
      <c r="F52" s="285">
        <f t="shared" si="15"/>
        <v>1007665456.8</v>
      </c>
      <c r="G52" s="285">
        <f t="shared" si="15"/>
        <v>321178118.95000005</v>
      </c>
      <c r="H52" s="286">
        <f>SUM(H19:H29)</f>
        <v>0</v>
      </c>
      <c r="I52" s="286">
        <f>SUM(I19:I29)</f>
        <v>0</v>
      </c>
    </row>
    <row r="53" spans="1:9" x14ac:dyDescent="0.25">
      <c r="D53" s="288">
        <f>D52-'[1]Иные межбюджетные трансферты'!$B$39+'[1]Иные межбюджетные трансферты'!$B$45</f>
        <v>0</v>
      </c>
      <c r="E53" s="288">
        <f>E52-'[1]Иные межбюджетные трансферты'!$B$35</f>
        <v>0</v>
      </c>
      <c r="G53" s="288">
        <f>G52-'[1]Иные межбюджетные трансферты'!$B$37*1000</f>
        <v>0</v>
      </c>
    </row>
    <row r="54" spans="1:9" x14ac:dyDescent="0.25">
      <c r="I54" s="1046"/>
    </row>
    <row r="55" spans="1:9" x14ac:dyDescent="0.25">
      <c r="C55" s="1793" t="s">
        <v>416</v>
      </c>
      <c r="D55" s="1793"/>
      <c r="E55" s="1793"/>
      <c r="F55" s="1793"/>
      <c r="G55" s="1793"/>
      <c r="I55" s="1047"/>
    </row>
    <row r="56" spans="1:9" x14ac:dyDescent="0.25">
      <c r="C56" s="289" t="s">
        <v>417</v>
      </c>
      <c r="D56" s="290">
        <f>D52-D59</f>
        <v>2698718209.8099999</v>
      </c>
      <c r="E56" s="290">
        <f>E52-E59</f>
        <v>2427263490.8600001</v>
      </c>
      <c r="F56" s="290">
        <f>F52-F59</f>
        <v>565098020.08000004</v>
      </c>
      <c r="G56" s="290">
        <f>G52-G59</f>
        <v>271454718.95000005</v>
      </c>
    </row>
    <row r="57" spans="1:9" x14ac:dyDescent="0.25">
      <c r="C57" s="291"/>
      <c r="D57" s="291"/>
      <c r="E57" s="291"/>
      <c r="F57" s="291"/>
      <c r="G57" s="291"/>
    </row>
    <row r="58" spans="1:9" x14ac:dyDescent="0.25">
      <c r="C58" s="1793" t="s">
        <v>418</v>
      </c>
      <c r="D58" s="1793"/>
      <c r="E58" s="1793"/>
      <c r="F58" s="1793"/>
      <c r="G58" s="1793"/>
    </row>
    <row r="59" spans="1:9" x14ac:dyDescent="0.25">
      <c r="C59" s="289" t="s">
        <v>417</v>
      </c>
      <c r="D59" s="290">
        <f>D28+D36+D31</f>
        <v>681017000.65999997</v>
      </c>
      <c r="E59" s="290">
        <f t="shared" ref="E59:G59" si="16">E28+E36+E31</f>
        <v>631293600.65999997</v>
      </c>
      <c r="F59" s="290">
        <f t="shared" si="16"/>
        <v>442567436.71999991</v>
      </c>
      <c r="G59" s="290">
        <f t="shared" si="16"/>
        <v>49723400</v>
      </c>
    </row>
    <row r="60" spans="1:9" ht="15.75" thickBot="1" x14ac:dyDescent="0.3"/>
    <row r="61" spans="1:9" ht="15.75" thickBot="1" x14ac:dyDescent="0.3">
      <c r="C61" s="287" t="s">
        <v>419</v>
      </c>
      <c r="D61" s="378">
        <v>690301900.65999997</v>
      </c>
      <c r="E61" s="291"/>
      <c r="F61" s="378">
        <v>446877298.97000003</v>
      </c>
      <c r="G61" s="291"/>
    </row>
    <row r="62" spans="1:9" ht="42.95" customHeight="1" x14ac:dyDescent="0.25">
      <c r="B62" s="292" t="s">
        <v>420</v>
      </c>
      <c r="C62" s="293" t="s">
        <v>421</v>
      </c>
      <c r="D62" s="11">
        <v>9284900</v>
      </c>
      <c r="E62" s="291"/>
      <c r="F62" s="11">
        <v>4309862.25</v>
      </c>
      <c r="G62" s="291"/>
    </row>
    <row r="63" spans="1:9" x14ac:dyDescent="0.25">
      <c r="B63" s="294"/>
      <c r="C63" s="287"/>
      <c r="D63" s="295"/>
      <c r="E63" s="291"/>
      <c r="F63" s="296"/>
      <c r="G63" s="291"/>
    </row>
    <row r="64" spans="1:9" x14ac:dyDescent="0.25">
      <c r="C64" s="287" t="s">
        <v>422</v>
      </c>
      <c r="D64" s="297">
        <f>SUM(D62:D63)</f>
        <v>9284900</v>
      </c>
      <c r="E64" s="291"/>
      <c r="F64" s="297">
        <f>SUM(F62:F63)</f>
        <v>4309862.25</v>
      </c>
      <c r="G64" s="291"/>
    </row>
    <row r="65" spans="1:9" x14ac:dyDescent="0.25">
      <c r="C65" s="298" t="s">
        <v>423</v>
      </c>
      <c r="D65" s="299">
        <f>D61-D59-D64</f>
        <v>0</v>
      </c>
      <c r="E65" s="291"/>
      <c r="F65" s="299">
        <f>F61-F59-F64</f>
        <v>1.1920928955078125E-7</v>
      </c>
      <c r="G65" s="291"/>
    </row>
    <row r="66" spans="1:9" x14ac:dyDescent="0.25">
      <c r="C66" s="291"/>
      <c r="D66" s="291"/>
      <c r="E66" s="291"/>
      <c r="F66" s="291"/>
      <c r="G66" s="291"/>
    </row>
    <row r="68" spans="1:9" ht="102" x14ac:dyDescent="0.25">
      <c r="A68" s="254"/>
      <c r="B68" s="255" t="s">
        <v>411</v>
      </c>
      <c r="C68" s="256" t="s">
        <v>412</v>
      </c>
      <c r="D68" s="261">
        <f>D50+D45+D41+D23</f>
        <v>110488606.55</v>
      </c>
      <c r="E68" s="261">
        <f t="shared" ref="E68:G68" si="17">E50+E45+E41+E23</f>
        <v>52850182.25</v>
      </c>
      <c r="F68" s="261">
        <f t="shared" si="17"/>
        <v>10488606.550000001</v>
      </c>
      <c r="G68" s="261">
        <f t="shared" si="17"/>
        <v>57638424.299999997</v>
      </c>
      <c r="H68" s="251">
        <f>IF(F68&gt;E68,1,0)</f>
        <v>0</v>
      </c>
      <c r="I68" s="251">
        <f>IF(G68&lt;0,1,0)</f>
        <v>0</v>
      </c>
    </row>
  </sheetData>
  <mergeCells count="6">
    <mergeCell ref="C58:G58"/>
    <mergeCell ref="A2:G2"/>
    <mergeCell ref="A3:G3"/>
    <mergeCell ref="A4:G4"/>
    <mergeCell ref="A52:B52"/>
    <mergeCell ref="C55:G55"/>
  </mergeCells>
  <pageMargins left="0.78740157480314965" right="0.39370078740157483" top="0.78740157480314965" bottom="0.78740157480314965" header="0.51181102362204722" footer="0.51181102362204722"/>
  <pageSetup paperSize="9" scale="52" fitToHeight="2" orientation="portrait" r:id="rId1"/>
  <headerFooter alignWithMargins="0">
    <oddFooter>&amp;R&amp;Z&amp;F&amp;A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I34"/>
  <sheetViews>
    <sheetView topLeftCell="A2" zoomScale="70" zoomScaleNormal="70" zoomScaleSheetLayoutView="70" workbookViewId="0">
      <pane xSplit="1" ySplit="4" topLeftCell="B29" activePane="bottomRight" state="frozen"/>
      <selection activeCell="D27" sqref="D27"/>
      <selection pane="topRight" activeCell="D27" sqref="D27"/>
      <selection pane="bottomLeft" activeCell="D27" sqref="D27"/>
      <selection pane="bottomRight" activeCell="G10" sqref="G10"/>
    </sheetView>
  </sheetViews>
  <sheetFormatPr defaultColWidth="8.85546875" defaultRowHeight="15" x14ac:dyDescent="0.25"/>
  <cols>
    <col min="1" max="1" width="66.7109375" style="243" customWidth="1"/>
    <col min="2" max="2" width="18" style="215" customWidth="1"/>
    <col min="3" max="5" width="21.85546875" style="214" customWidth="1"/>
    <col min="6" max="7" width="21.85546875" style="216" customWidth="1"/>
    <col min="8" max="8" width="22" style="214" customWidth="1"/>
    <col min="9" max="9" width="20.85546875" style="214" customWidth="1"/>
    <col min="10" max="16384" width="8.85546875" style="214"/>
  </cols>
  <sheetData>
    <row r="2" spans="1:9" x14ac:dyDescent="0.25">
      <c r="A2" s="1775" t="s">
        <v>368</v>
      </c>
      <c r="B2" s="1775"/>
      <c r="C2" s="1775"/>
      <c r="D2" s="1775"/>
      <c r="E2" s="1775"/>
      <c r="F2" s="1775"/>
      <c r="G2" s="1775"/>
      <c r="H2" s="1775"/>
      <c r="I2" s="1775"/>
    </row>
    <row r="4" spans="1:9" x14ac:dyDescent="0.25">
      <c r="I4" s="214" t="s">
        <v>356</v>
      </c>
    </row>
    <row r="5" spans="1:9" x14ac:dyDescent="0.25">
      <c r="A5" s="240" t="s">
        <v>357</v>
      </c>
      <c r="B5" s="240" t="s">
        <v>358</v>
      </c>
      <c r="C5" s="240" t="s">
        <v>359</v>
      </c>
      <c r="D5" s="234" t="s">
        <v>360</v>
      </c>
      <c r="E5" s="234" t="s">
        <v>361</v>
      </c>
      <c r="F5" s="241" t="s">
        <v>362</v>
      </c>
      <c r="G5" s="241" t="s">
        <v>363</v>
      </c>
      <c r="H5" s="240" t="s">
        <v>364</v>
      </c>
      <c r="I5" s="240" t="s">
        <v>365</v>
      </c>
    </row>
    <row r="6" spans="1:9" s="225" customFormat="1" ht="60" x14ac:dyDescent="0.25">
      <c r="A6" s="228" t="str">
        <f>Субсидия!B279</f>
        <v>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v>
      </c>
      <c r="B6" s="221" t="str">
        <f>Субсидия!C279</f>
        <v>04 1 E1 52390</v>
      </c>
      <c r="C6" s="224">
        <f>Субсидия!D283</f>
        <v>844127500</v>
      </c>
      <c r="D6" s="11">
        <v>844127500</v>
      </c>
      <c r="E6" s="11">
        <v>401718749.95999998</v>
      </c>
      <c r="F6" s="242">
        <f t="shared" ref="F6:F31" si="0">C6-D6</f>
        <v>0</v>
      </c>
      <c r="G6" s="242">
        <f t="shared" ref="G6:G31" si="1">I6-E6</f>
        <v>0</v>
      </c>
      <c r="H6" s="224">
        <f>Субсидия!E283</f>
        <v>844127500</v>
      </c>
      <c r="I6" s="224">
        <f>Субсидия!F283</f>
        <v>401718749.95999998</v>
      </c>
    </row>
    <row r="7" spans="1:9" s="225" customFormat="1" ht="105" x14ac:dyDescent="0.25">
      <c r="A7" s="228" t="str">
        <f>Субсидия!B303</f>
        <v>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v>
      </c>
      <c r="B7" s="221" t="str">
        <f>Субсидия!C303</f>
        <v>04 1 E2 50980</v>
      </c>
      <c r="C7" s="224">
        <f>Субсидия!D306</f>
        <v>5982800</v>
      </c>
      <c r="D7" s="11">
        <v>5982800</v>
      </c>
      <c r="E7" s="11">
        <v>0</v>
      </c>
      <c r="F7" s="242">
        <f t="shared" si="0"/>
        <v>0</v>
      </c>
      <c r="G7" s="242">
        <f t="shared" si="1"/>
        <v>0</v>
      </c>
      <c r="H7" s="224">
        <f>Субсидия!E306</f>
        <v>5982800</v>
      </c>
      <c r="I7" s="224">
        <f>Субсидия!F306</f>
        <v>0</v>
      </c>
    </row>
    <row r="8" spans="1:9" s="225" customFormat="1" ht="90" x14ac:dyDescent="0.25">
      <c r="A8" s="228" t="str">
        <f>Субсидия!B315</f>
        <v>Реализация мероприятий по модернизации школьных систем образования (с однолетним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v>
      </c>
      <c r="B8" s="221" t="str">
        <f>Субсидия!C315</f>
        <v xml:space="preserve">04 2 01 R7501 </v>
      </c>
      <c r="C8" s="224">
        <f>Субсидия!D318</f>
        <v>478133400</v>
      </c>
      <c r="D8" s="11">
        <v>478133400</v>
      </c>
      <c r="E8" s="11">
        <v>0</v>
      </c>
      <c r="F8" s="242">
        <f t="shared" si="0"/>
        <v>0</v>
      </c>
      <c r="G8" s="242">
        <f t="shared" si="1"/>
        <v>242221266.41</v>
      </c>
      <c r="H8" s="224">
        <f>Субсидия!E318</f>
        <v>478133400</v>
      </c>
      <c r="I8" s="224">
        <f>Субсидия!F318</f>
        <v>242221266.41</v>
      </c>
    </row>
    <row r="9" spans="1:9" s="225" customFormat="1" ht="90" x14ac:dyDescent="0.25">
      <c r="A9" s="228" t="str">
        <f>Субсидия!B321</f>
        <v>Реализация мероприятий по модернизации школьных систем образования (с двухлетним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v>
      </c>
      <c r="B9" s="221" t="str">
        <f>Субсидия!C321</f>
        <v>04 2 01 R7502</v>
      </c>
      <c r="C9" s="224">
        <f>Субсидия!D324</f>
        <v>78.84</v>
      </c>
      <c r="D9" s="11"/>
      <c r="E9" s="11"/>
      <c r="F9" s="242">
        <f t="shared" ref="F9" si="2">C9-D9</f>
        <v>78.84</v>
      </c>
      <c r="G9" s="242">
        <f t="shared" ref="G9" si="3">I9-E9</f>
        <v>0</v>
      </c>
      <c r="H9" s="224">
        <f>Субсидия!E324</f>
        <v>0</v>
      </c>
      <c r="I9" s="224">
        <f>Субсидия!F324</f>
        <v>0</v>
      </c>
    </row>
    <row r="10" spans="1:9" s="225" customFormat="1" ht="60" x14ac:dyDescent="0.25">
      <c r="A10" s="228" t="str">
        <f>Субсидия!B391</f>
        <v xml:space="preserve">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v>
      </c>
      <c r="B10" s="221" t="str">
        <f>Субсидия!C391</f>
        <v>05 1 A1 54540</v>
      </c>
      <c r="C10" s="224">
        <f>Субсидия!D394</f>
        <v>21850000</v>
      </c>
      <c r="D10" s="11">
        <v>478133400</v>
      </c>
      <c r="E10" s="11">
        <v>946396.65</v>
      </c>
      <c r="F10" s="242">
        <f t="shared" si="0"/>
        <v>-456283400</v>
      </c>
      <c r="G10" s="242">
        <f t="shared" si="1"/>
        <v>-383128.12</v>
      </c>
      <c r="H10" s="224">
        <f>Субсидия!E394</f>
        <v>21850000</v>
      </c>
      <c r="I10" s="224">
        <f>Субсидия!F394</f>
        <v>563268.53</v>
      </c>
    </row>
    <row r="11" spans="1:9" s="225" customFormat="1" ht="135" x14ac:dyDescent="0.25">
      <c r="A11" s="228" t="str">
        <f>Субсидия!B400</f>
        <v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v>
      </c>
      <c r="B11" s="221" t="str">
        <f>Субсидия!C400</f>
        <v>05 1 A1 55131</v>
      </c>
      <c r="C11" s="224">
        <f>Субсидия!D404</f>
        <v>29785800</v>
      </c>
      <c r="D11" s="11"/>
      <c r="E11" s="11"/>
      <c r="F11" s="242">
        <f t="shared" si="0"/>
        <v>29785800</v>
      </c>
      <c r="G11" s="242">
        <f t="shared" si="1"/>
        <v>15621406.539999999</v>
      </c>
      <c r="H11" s="224">
        <f>Субсидия!E404</f>
        <v>29785800</v>
      </c>
      <c r="I11" s="224">
        <f>Субсидия!F404</f>
        <v>15621406.539999999</v>
      </c>
    </row>
    <row r="12" spans="1:9" s="225" customFormat="1" ht="105" x14ac:dyDescent="0.25">
      <c r="A12" s="228" t="str">
        <f>Субсидия!B351</f>
        <v>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v>
      </c>
      <c r="B12" s="221" t="str">
        <f>Субсидия!C351</f>
        <v>05 1 A1 5519Б</v>
      </c>
      <c r="C12" s="224">
        <f>Субсидия!D355</f>
        <v>4757600</v>
      </c>
      <c r="D12" s="11"/>
      <c r="E12" s="11"/>
      <c r="F12" s="242">
        <f t="shared" si="0"/>
        <v>4757600</v>
      </c>
      <c r="G12" s="242">
        <f t="shared" si="1"/>
        <v>484797.61</v>
      </c>
      <c r="H12" s="224">
        <f>Субсидия!E355</f>
        <v>4757600</v>
      </c>
      <c r="I12" s="224">
        <f>Субсидия!F355</f>
        <v>484797.61</v>
      </c>
    </row>
    <row r="13" spans="1:9" s="225" customFormat="1" ht="60" x14ac:dyDescent="0.25">
      <c r="A13" s="228" t="str">
        <f>Субсидия!B408</f>
        <v xml:space="preserve">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v>
      </c>
      <c r="B13" s="221" t="str">
        <f>Субсидия!C408</f>
        <v>05 1 A1 55840</v>
      </c>
      <c r="C13" s="224">
        <f>Субсидия!D411</f>
        <v>6625800</v>
      </c>
      <c r="D13" s="11"/>
      <c r="E13" s="11"/>
      <c r="F13" s="242">
        <f t="shared" si="0"/>
        <v>6625800</v>
      </c>
      <c r="G13" s="242">
        <f t="shared" si="1"/>
        <v>1557847.01</v>
      </c>
      <c r="H13" s="224">
        <f>Субсидия!E411</f>
        <v>6625800</v>
      </c>
      <c r="I13" s="224">
        <f>Субсидия!F411</f>
        <v>1557847.01</v>
      </c>
    </row>
    <row r="14" spans="1:9" s="225" customFormat="1" ht="60" x14ac:dyDescent="0.25">
      <c r="A14" s="228" t="str">
        <f>Субсидия!B429</f>
        <v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v>
      </c>
      <c r="B14" s="221" t="str">
        <f>Субсидия!C429</f>
        <v>05 1 A3 54530</v>
      </c>
      <c r="C14" s="224">
        <f>Субсидия!D432</f>
        <v>2500000</v>
      </c>
      <c r="D14" s="11"/>
      <c r="E14" s="11"/>
      <c r="F14" s="242">
        <f t="shared" si="0"/>
        <v>2500000</v>
      </c>
      <c r="G14" s="242">
        <f t="shared" si="1"/>
        <v>0</v>
      </c>
      <c r="H14" s="224">
        <f>Субсидия!E432</f>
        <v>2500000</v>
      </c>
      <c r="I14" s="224">
        <f>Субсидия!F432</f>
        <v>0</v>
      </c>
    </row>
    <row r="15" spans="1:9" s="225" customFormat="1" ht="135" x14ac:dyDescent="0.25">
      <c r="A15" s="228" t="str">
        <f>Субсидия!B435</f>
        <v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5" s="221" t="str">
        <f>Субсидия!C435</f>
        <v>05 4 02 R4660</v>
      </c>
      <c r="C15" s="224">
        <f>Субсидия!D438</f>
        <v>2488300</v>
      </c>
      <c r="D15" s="11"/>
      <c r="E15" s="11"/>
      <c r="F15" s="242">
        <f t="shared" si="0"/>
        <v>2488300</v>
      </c>
      <c r="G15" s="242">
        <f t="shared" si="1"/>
        <v>2488299.9900000002</v>
      </c>
      <c r="H15" s="224">
        <f>Субсидия!E438</f>
        <v>2488300</v>
      </c>
      <c r="I15" s="224">
        <f>Субсидия!F438</f>
        <v>2488299.9900000002</v>
      </c>
    </row>
    <row r="16" spans="1:9" s="225" customFormat="1" ht="150" x14ac:dyDescent="0.25">
      <c r="A16" s="228" t="str">
        <f>Субсидия!B447</f>
        <v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6" s="221" t="str">
        <f>Субсидия!C447</f>
        <v xml:space="preserve">05 4 02 R5191 </v>
      </c>
      <c r="C16" s="224">
        <f>Субсидия!D451</f>
        <v>3683300</v>
      </c>
      <c r="D16" s="11"/>
      <c r="E16" s="11"/>
      <c r="F16" s="242">
        <f t="shared" si="0"/>
        <v>3683300</v>
      </c>
      <c r="G16" s="242">
        <f t="shared" si="1"/>
        <v>2826538.5900000003</v>
      </c>
      <c r="H16" s="224">
        <f>Субсидия!E451</f>
        <v>168192400</v>
      </c>
      <c r="I16" s="224">
        <f>Субсидия!F451</f>
        <v>2826538.5900000003</v>
      </c>
    </row>
    <row r="17" spans="1:9" s="225" customFormat="1" ht="135" x14ac:dyDescent="0.25">
      <c r="A17" s="228" t="str">
        <f>Субсидия!B203</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7" s="221" t="str">
        <f>Субсидия!C203</f>
        <v>06 1 F2 54240</v>
      </c>
      <c r="C17" s="224">
        <f>Субсидия!D207</f>
        <v>164509100</v>
      </c>
      <c r="D17" s="11"/>
      <c r="E17" s="11"/>
      <c r="F17" s="242">
        <f t="shared" si="0"/>
        <v>164509100</v>
      </c>
      <c r="G17" s="242">
        <f t="shared" si="1"/>
        <v>144222088.74000001</v>
      </c>
      <c r="H17" s="224">
        <f>Субсидия!E207</f>
        <v>167793311.36000001</v>
      </c>
      <c r="I17" s="224">
        <f>Субсидия!F207</f>
        <v>144222088.74000001</v>
      </c>
    </row>
    <row r="18" spans="1:9" s="225" customFormat="1" ht="105" x14ac:dyDescent="0.25">
      <c r="A18" s="228" t="str">
        <f>Субсидия!B211</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8" s="221" t="str">
        <f>Субсидия!C211</f>
        <v>06 1 F2 55550</v>
      </c>
      <c r="C18" s="224">
        <f>Субсидия!D215</f>
        <v>272384500</v>
      </c>
      <c r="D18" s="11"/>
      <c r="E18" s="11"/>
      <c r="F18" s="242">
        <f t="shared" si="0"/>
        <v>272384500</v>
      </c>
      <c r="G18" s="242">
        <f t="shared" si="1"/>
        <v>126381994.62</v>
      </c>
      <c r="H18" s="224">
        <f>Субсидия!E215</f>
        <v>416944914.11000001</v>
      </c>
      <c r="I18" s="224">
        <f>Субсидия!F215</f>
        <v>126381994.62</v>
      </c>
    </row>
    <row r="19" spans="1:9" s="225" customFormat="1" ht="150" x14ac:dyDescent="0.25">
      <c r="A19" s="228" t="str">
        <f>Субсидия!B137</f>
        <v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9" s="221" t="str">
        <f>Субсидия!C137</f>
        <v>06 1 F5 52432</v>
      </c>
      <c r="C19" s="224">
        <f>Субсидия!D140</f>
        <v>115116800</v>
      </c>
      <c r="D19" s="11"/>
      <c r="E19" s="11"/>
      <c r="F19" s="242">
        <f t="shared" si="0"/>
        <v>115116800</v>
      </c>
      <c r="G19" s="242">
        <f t="shared" si="1"/>
        <v>104137919.87</v>
      </c>
      <c r="H19" s="224">
        <f>Субсидия!E140</f>
        <v>197611636.71000001</v>
      </c>
      <c r="I19" s="224">
        <f>Субсидия!F140</f>
        <v>104137919.87</v>
      </c>
    </row>
    <row r="20" spans="1:9" s="225" customFormat="1" ht="270" x14ac:dyDescent="0.25">
      <c r="A20" s="228" t="str">
        <f>Субсидия!B125</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20" s="221" t="str">
        <f>Субсидия!C125</f>
        <v xml:space="preserve">07 2 01 R5762 </v>
      </c>
      <c r="C20" s="224">
        <f>Субсидия!D128</f>
        <v>219498600</v>
      </c>
      <c r="D20" s="11"/>
      <c r="E20" s="11"/>
      <c r="F20" s="242">
        <f t="shared" si="0"/>
        <v>219498600</v>
      </c>
      <c r="G20" s="242">
        <f t="shared" si="1"/>
        <v>28900057.549999997</v>
      </c>
      <c r="H20" s="224">
        <f>Субсидия!E128</f>
        <v>219498600</v>
      </c>
      <c r="I20" s="224">
        <f>Субсидия!F128</f>
        <v>28900057.549999997</v>
      </c>
    </row>
    <row r="21" spans="1:9" s="225" customFormat="1" ht="135" x14ac:dyDescent="0.25">
      <c r="A21" s="228" t="str">
        <f>Субсидия!B223</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v>
      </c>
      <c r="B21" s="221" t="str">
        <f>Субсидия!C223</f>
        <v>07 2 02 R5763</v>
      </c>
      <c r="C21" s="224">
        <f>Субсидия!D226</f>
        <v>10309200</v>
      </c>
      <c r="D21" s="11"/>
      <c r="E21" s="11"/>
      <c r="F21" s="242">
        <f t="shared" si="0"/>
        <v>10309200</v>
      </c>
      <c r="G21" s="242">
        <f t="shared" si="1"/>
        <v>1185621.1599999999</v>
      </c>
      <c r="H21" s="224">
        <f>Субсидия!E226</f>
        <v>8932514.2699999996</v>
      </c>
      <c r="I21" s="224">
        <f>Субсидия!F226</f>
        <v>1185621.1599999999</v>
      </c>
    </row>
    <row r="22" spans="1:9" s="225" customFormat="1" ht="135" x14ac:dyDescent="0.25">
      <c r="A22" s="228" t="str">
        <f>Субсидия!B65</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2" s="221" t="str">
        <f>Субсидия!C65</f>
        <v>07 2 03 R3722</v>
      </c>
      <c r="C22" s="224">
        <f>Субсидия!D69</f>
        <v>245465200</v>
      </c>
      <c r="D22" s="11"/>
      <c r="E22" s="11"/>
      <c r="F22" s="242">
        <f t="shared" si="0"/>
        <v>245465200</v>
      </c>
      <c r="G22" s="242">
        <f t="shared" si="1"/>
        <v>50526359.969999999</v>
      </c>
      <c r="H22" s="224">
        <f>Субсидия!E69</f>
        <v>234131380.22999999</v>
      </c>
      <c r="I22" s="224">
        <f>Субсидия!F69</f>
        <v>50526359.969999999</v>
      </c>
    </row>
    <row r="23" spans="1:9" s="225" customFormat="1" ht="120" x14ac:dyDescent="0.25">
      <c r="A23" s="228" t="str">
        <f>Субсидия!B503</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23" s="221" t="str">
        <f>Субсидия!C503</f>
        <v>07 2 04 R5766</v>
      </c>
      <c r="C23" s="224">
        <f>Субсидия!D506</f>
        <v>1276727800</v>
      </c>
      <c r="D23" s="11"/>
      <c r="E23" s="11"/>
      <c r="F23" s="242">
        <f t="shared" si="0"/>
        <v>1276727800</v>
      </c>
      <c r="G23" s="242">
        <f t="shared" si="1"/>
        <v>603766088.18000007</v>
      </c>
      <c r="H23" s="224">
        <f>Субсидия!E506</f>
        <v>1400016000</v>
      </c>
      <c r="I23" s="224">
        <f>Субсидия!F506</f>
        <v>603766088.18000007</v>
      </c>
    </row>
    <row r="24" spans="1:9" s="225" customFormat="1" ht="105" x14ac:dyDescent="0.25">
      <c r="A24" s="228" t="str">
        <f>Субсидия!B73</f>
        <v>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v>
      </c>
      <c r="B24" s="221" t="str">
        <f>Субсидия!C73</f>
        <v>08 1 R1 53940</v>
      </c>
      <c r="C24" s="224">
        <f>Субсидия!D76</f>
        <v>260033228.37</v>
      </c>
      <c r="D24" s="11"/>
      <c r="E24" s="11"/>
      <c r="F24" s="242">
        <f t="shared" si="0"/>
        <v>260033228.37</v>
      </c>
      <c r="G24" s="242">
        <f t="shared" si="1"/>
        <v>140539200</v>
      </c>
      <c r="H24" s="224">
        <f>Субсидия!E76</f>
        <v>335298439.97000003</v>
      </c>
      <c r="I24" s="224">
        <f>Субсидия!F76</f>
        <v>140539200</v>
      </c>
    </row>
    <row r="25" spans="1:9" s="225" customFormat="1" ht="180" x14ac:dyDescent="0.25">
      <c r="A25" s="228" t="str">
        <f>Субсидия!B52</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5" s="221" t="str">
        <f>Субсидия!C52</f>
        <v>08 1 R7 54010</v>
      </c>
      <c r="C25" s="224">
        <f>Субсидия!D56</f>
        <v>1404739120.51</v>
      </c>
      <c r="D25" s="11"/>
      <c r="E25" s="11"/>
      <c r="F25" s="242">
        <f t="shared" si="0"/>
        <v>1404739120.51</v>
      </c>
      <c r="G25" s="242">
        <f t="shared" si="1"/>
        <v>572135749.15999997</v>
      </c>
      <c r="H25" s="224">
        <f>Субсидия!E56</f>
        <v>1404739120.51</v>
      </c>
      <c r="I25" s="224">
        <f>Субсидия!F56</f>
        <v>572135749.15999997</v>
      </c>
    </row>
    <row r="26" spans="1:9" ht="150" x14ac:dyDescent="0.25">
      <c r="A26" s="228" t="str">
        <f>Субсидия!B178</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26" s="221" t="str">
        <f>Субсидия!C178</f>
        <v>09 1 F1 50212</v>
      </c>
      <c r="C26" s="224">
        <f>Субсидия!D181</f>
        <v>66210991.949999988</v>
      </c>
      <c r="D26" s="11"/>
      <c r="E26" s="11"/>
      <c r="F26" s="242">
        <f t="shared" si="0"/>
        <v>66210991.949999988</v>
      </c>
      <c r="G26" s="242">
        <f t="shared" si="1"/>
        <v>0</v>
      </c>
      <c r="H26" s="224">
        <f>Субсидия!E181</f>
        <v>22014164.57</v>
      </c>
      <c r="I26" s="224">
        <f>Субсидия!F181</f>
        <v>0</v>
      </c>
    </row>
    <row r="27" spans="1:9" ht="120" x14ac:dyDescent="0.25">
      <c r="A27" s="228" t="str">
        <f>Субсидия!B92</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27" s="221" t="str">
        <f>Субсидия!C92</f>
        <v>09 1 F1 50213</v>
      </c>
      <c r="C27" s="224">
        <f>Субсидия!D95</f>
        <v>1011540300</v>
      </c>
      <c r="D27" s="11"/>
      <c r="E27" s="11"/>
      <c r="F27" s="242">
        <f t="shared" si="0"/>
        <v>1011540300</v>
      </c>
      <c r="G27" s="242">
        <f t="shared" si="1"/>
        <v>222265057.01999998</v>
      </c>
      <c r="H27" s="224">
        <f>Субсидия!E95</f>
        <v>1011540300</v>
      </c>
      <c r="I27" s="224">
        <f>Субсидия!F95</f>
        <v>222265057.01999998</v>
      </c>
    </row>
    <row r="28" spans="1:9" ht="105" x14ac:dyDescent="0.25">
      <c r="A28" s="228" t="str">
        <f>Субсидия!B184</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28" s="221" t="str">
        <f>Субсидия!C184</f>
        <v xml:space="preserve">09 1 F1 50214 </v>
      </c>
      <c r="C28" s="224">
        <f>Субсидия!D187</f>
        <v>127237978.61000001</v>
      </c>
      <c r="D28" s="11"/>
      <c r="E28" s="11"/>
      <c r="F28" s="242">
        <f t="shared" si="0"/>
        <v>127237978.61000001</v>
      </c>
      <c r="G28" s="242">
        <f t="shared" si="1"/>
        <v>64798441.840000004</v>
      </c>
      <c r="H28" s="224">
        <f>Субсидия!E187</f>
        <v>75345743.200000003</v>
      </c>
      <c r="I28" s="224">
        <f>Субсидия!F187</f>
        <v>64798441.840000004</v>
      </c>
    </row>
    <row r="29" spans="1:9" s="225" customFormat="1" ht="120" x14ac:dyDescent="0.25">
      <c r="A29" s="228" t="str">
        <f>Субсидия!B37</f>
        <v>Подготовка проектов межевания земельных участков и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29" s="221" t="str">
        <f>Субсидия!C37</f>
        <v>17 2 05 R5990</v>
      </c>
      <c r="C29" s="224">
        <f>Субсидия!D40</f>
        <v>120500</v>
      </c>
      <c r="D29" s="11"/>
      <c r="E29" s="11"/>
      <c r="F29" s="242">
        <f t="shared" si="0"/>
        <v>120500</v>
      </c>
      <c r="G29" s="242">
        <f t="shared" si="1"/>
        <v>0</v>
      </c>
      <c r="H29" s="224">
        <f>Субсидия!E40</f>
        <v>9055887.7100000009</v>
      </c>
      <c r="I29" s="224">
        <f>Субсидия!F40</f>
        <v>0</v>
      </c>
    </row>
    <row r="30" spans="1:9" s="225" customFormat="1" ht="105" x14ac:dyDescent="0.25">
      <c r="A30" s="228" t="str">
        <f>Субсидия!B18</f>
        <v>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v>
      </c>
      <c r="B30" s="221" t="str">
        <f>Субсидия!C18</f>
        <v>19 4 01 R5110</v>
      </c>
      <c r="C30" s="224">
        <f>Субсидия!D21</f>
        <v>6524400</v>
      </c>
      <c r="D30" s="11"/>
      <c r="E30" s="11"/>
      <c r="F30" s="242">
        <f t="shared" si="0"/>
        <v>6524400</v>
      </c>
      <c r="G30" s="242">
        <f t="shared" si="1"/>
        <v>0</v>
      </c>
      <c r="H30" s="224">
        <f>Субсидия!E21</f>
        <v>6524400</v>
      </c>
      <c r="I30" s="224">
        <f>Субсидия!F21</f>
        <v>0</v>
      </c>
    </row>
    <row r="31" spans="1:9" s="225" customFormat="1" ht="165" x14ac:dyDescent="0.25">
      <c r="A31" s="228" t="str">
        <f>Субсидия!B232</f>
        <v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v>
      </c>
      <c r="B31" s="221" t="str">
        <f>Субсидия!C232</f>
        <v>20 4 02 R2991</v>
      </c>
      <c r="C31" s="224">
        <f>Субсидия!D235</f>
        <v>18686100</v>
      </c>
      <c r="D31" s="11"/>
      <c r="E31" s="11"/>
      <c r="F31" s="242">
        <f t="shared" si="0"/>
        <v>18686100</v>
      </c>
      <c r="G31" s="242">
        <f t="shared" si="1"/>
        <v>622691.93000000005</v>
      </c>
      <c r="H31" s="224">
        <f>Субсидия!E235</f>
        <v>18686100</v>
      </c>
      <c r="I31" s="224">
        <f>Субсидия!F235</f>
        <v>622691.93000000005</v>
      </c>
    </row>
    <row r="32" spans="1:9" x14ac:dyDescent="0.25">
      <c r="A32" s="234" t="s">
        <v>8</v>
      </c>
      <c r="B32" s="235"/>
      <c r="C32" s="237">
        <f t="shared" ref="C32:I32" si="4">SUM(C6:C31)</f>
        <v>6599038398.2799997</v>
      </c>
      <c r="D32" s="237">
        <f t="shared" si="4"/>
        <v>1806377100</v>
      </c>
      <c r="E32" s="237">
        <f t="shared" si="4"/>
        <v>402665146.60999995</v>
      </c>
      <c r="F32" s="237">
        <f t="shared" si="4"/>
        <v>4792661298.2799997</v>
      </c>
      <c r="G32" s="237">
        <f t="shared" si="4"/>
        <v>2324298298.0699997</v>
      </c>
      <c r="H32" s="237">
        <f t="shared" si="4"/>
        <v>7092576112.6400003</v>
      </c>
      <c r="I32" s="237">
        <f t="shared" si="4"/>
        <v>2726963444.6799998</v>
      </c>
    </row>
    <row r="33" spans="3:9" x14ac:dyDescent="0.25">
      <c r="C33" s="239">
        <f>C32-Субсидия!D538</f>
        <v>0</v>
      </c>
      <c r="D33" s="239"/>
      <c r="E33" s="239"/>
      <c r="F33" s="238"/>
      <c r="G33" s="238"/>
      <c r="H33" s="239">
        <f>H32-Субсидия!E535</f>
        <v>-3280050.0799999237</v>
      </c>
      <c r="I33" s="239">
        <f>I32-Субсидия!F535</f>
        <v>0</v>
      </c>
    </row>
    <row r="34" spans="3:9" x14ac:dyDescent="0.25">
      <c r="C34" s="239"/>
      <c r="D34" s="239"/>
      <c r="E34" s="239"/>
      <c r="F34" s="238"/>
      <c r="G34" s="238"/>
      <c r="H34" s="239"/>
      <c r="I34" s="239"/>
    </row>
  </sheetData>
  <mergeCells count="1">
    <mergeCell ref="A2:I2"/>
  </mergeCells>
  <pageMargins left="0.78740157480314965" right="0.39370078740157483" top="0.59055118110236227" bottom="0.59055118110236227" header="0.31496062992125984" footer="0.31496062992125984"/>
  <pageSetup paperSize="9" scale="57" fitToHeight="4" orientation="landscape" horizontalDpi="300" verticalDpi="300" r:id="rId1"/>
  <headerFooter>
    <oddFooter>&amp;L&amp;P&amp;R&amp;Z&amp;F&amp;A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20"/>
  <sheetViews>
    <sheetView topLeftCell="A2" zoomScale="60" zoomScaleNormal="60" zoomScaleSheetLayoutView="70" workbookViewId="0">
      <pane xSplit="1" ySplit="4" topLeftCell="B15" activePane="bottomRight" state="frozen"/>
      <selection activeCell="D27" sqref="D27"/>
      <selection pane="topRight" activeCell="D27" sqref="D27"/>
      <selection pane="bottomLeft" activeCell="D27" sqref="D27"/>
      <selection pane="bottomRight" activeCell="D10" sqref="D10"/>
    </sheetView>
  </sheetViews>
  <sheetFormatPr defaultColWidth="8.85546875" defaultRowHeight="15.75" x14ac:dyDescent="0.25"/>
  <cols>
    <col min="1" max="1" width="60.42578125" style="214" customWidth="1"/>
    <col min="2" max="2" width="18" style="215" customWidth="1"/>
    <col min="3" max="5" width="21.85546875" style="214" customWidth="1"/>
    <col min="6" max="7" width="21.85546875" style="216" customWidth="1"/>
    <col min="8" max="8" width="22" style="214" customWidth="1"/>
    <col min="9" max="9" width="20.85546875" style="214" customWidth="1"/>
    <col min="10" max="10" width="10.5703125" style="1150" customWidth="1"/>
    <col min="11" max="16384" width="8.85546875" style="214"/>
  </cols>
  <sheetData>
    <row r="2" spans="1:10" x14ac:dyDescent="0.25">
      <c r="A2" s="1775" t="s">
        <v>366</v>
      </c>
      <c r="B2" s="1775"/>
      <c r="C2" s="1775"/>
      <c r="D2" s="1775"/>
      <c r="E2" s="1775"/>
      <c r="F2" s="1775"/>
      <c r="G2" s="1775"/>
      <c r="H2" s="1775"/>
      <c r="I2" s="1775"/>
    </row>
    <row r="4" spans="1:10" x14ac:dyDescent="0.25">
      <c r="I4" s="214" t="s">
        <v>356</v>
      </c>
    </row>
    <row r="5" spans="1:10" x14ac:dyDescent="0.25">
      <c r="A5" s="240" t="s">
        <v>357</v>
      </c>
      <c r="B5" s="240" t="s">
        <v>358</v>
      </c>
      <c r="C5" s="240" t="s">
        <v>359</v>
      </c>
      <c r="D5" s="234" t="s">
        <v>360</v>
      </c>
      <c r="E5" s="234" t="s">
        <v>361</v>
      </c>
      <c r="F5" s="241" t="s">
        <v>362</v>
      </c>
      <c r="G5" s="241" t="s">
        <v>363</v>
      </c>
      <c r="H5" s="240" t="s">
        <v>364</v>
      </c>
      <c r="I5" s="240" t="s">
        <v>365</v>
      </c>
    </row>
    <row r="6" spans="1:10" s="225" customFormat="1" ht="165" x14ac:dyDescent="0.25">
      <c r="A6" s="220" t="str">
        <f>Субсидия!B137</f>
        <v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6" s="227" t="str">
        <f>Субсидия!C137</f>
        <v>06 1 F5 52432</v>
      </c>
      <c r="C6" s="224">
        <f>Субсидия!D139+Субсидия!D142</f>
        <v>121175580</v>
      </c>
      <c r="D6" s="1121">
        <v>121175580</v>
      </c>
      <c r="E6" s="1121">
        <v>109618863.97</v>
      </c>
      <c r="F6" s="242">
        <f>C6-D6</f>
        <v>0</v>
      </c>
      <c r="G6" s="242">
        <f>I6-E6</f>
        <v>0</v>
      </c>
      <c r="H6" s="224">
        <f>Субсидия!E139+Субсидия!E142</f>
        <v>203670416.71000001</v>
      </c>
      <c r="I6" s="224">
        <f>Субсидия!F139+Субсидия!F142</f>
        <v>109618863.97</v>
      </c>
      <c r="J6" s="1165"/>
    </row>
    <row r="7" spans="1:10" s="225" customFormat="1" ht="195" x14ac:dyDescent="0.25">
      <c r="A7" s="220" t="str">
        <f>Субсидия!B163</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7" s="227" t="str">
        <f>Субсидия!C163</f>
        <v>06 2 01 86390</v>
      </c>
      <c r="C7" s="224">
        <f>Субсидия!D165</f>
        <v>993391653.36000001</v>
      </c>
      <c r="D7" s="1121">
        <v>993391653.36000001</v>
      </c>
      <c r="E7" s="1121">
        <v>141584288.19</v>
      </c>
      <c r="F7" s="242">
        <f t="shared" ref="F7:F14" si="0">C7-D7</f>
        <v>0</v>
      </c>
      <c r="G7" s="242">
        <f t="shared" ref="G7:G14" si="1">I7-E7</f>
        <v>0</v>
      </c>
      <c r="H7" s="224">
        <f>Субсидия!E165</f>
        <v>865675729.78000009</v>
      </c>
      <c r="I7" s="224">
        <f>Субсидия!F165</f>
        <v>141584288.18999997</v>
      </c>
      <c r="J7" s="1165"/>
    </row>
    <row r="8" spans="1:10" s="225" customFormat="1" ht="300" x14ac:dyDescent="0.25">
      <c r="A8" s="220" t="str">
        <f>Субсидия!B125</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8" s="227" t="str">
        <f>Субсидия!C125</f>
        <v xml:space="preserve">07 2 01 R5762 </v>
      </c>
      <c r="C8" s="224">
        <f>Субсидия!D127+Субсидия!D130</f>
        <v>235304631.56999999</v>
      </c>
      <c r="D8" s="1121">
        <v>235304631.56999999</v>
      </c>
      <c r="E8" s="1121">
        <v>30421113.129999999</v>
      </c>
      <c r="F8" s="242">
        <f t="shared" si="0"/>
        <v>0</v>
      </c>
      <c r="G8" s="242">
        <f t="shared" si="1"/>
        <v>0</v>
      </c>
      <c r="H8" s="224">
        <f>Субсидия!E127+Субсидия!E130</f>
        <v>231051157.88999999</v>
      </c>
      <c r="I8" s="224">
        <f>Субсидия!F127+Субсидия!F130</f>
        <v>30421113.129999995</v>
      </c>
      <c r="J8" s="1165"/>
    </row>
    <row r="9" spans="1:10" s="225" customFormat="1" ht="135" x14ac:dyDescent="0.25">
      <c r="A9" s="1166" t="str">
        <f>Субсидия!B503</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9" s="1167" t="str">
        <f>Субсидия!C503</f>
        <v>07 2 04 R5766</v>
      </c>
      <c r="C9" s="1168">
        <f>Субсидия!D505+Субсидия!D508</f>
        <v>1109865473.6800001</v>
      </c>
      <c r="D9" s="1121">
        <v>1109865473.6800001</v>
      </c>
      <c r="E9" s="1121">
        <v>585654716.96000004</v>
      </c>
      <c r="F9" s="1169">
        <f t="shared" si="0"/>
        <v>0</v>
      </c>
      <c r="G9" s="1169">
        <f t="shared" si="1"/>
        <v>0</v>
      </c>
      <c r="H9" s="1168">
        <f>Субсидия!E505+Субсидия!E508</f>
        <v>1109865473.6800001</v>
      </c>
      <c r="I9" s="1168">
        <f>Субсидия!F505+Субсидия!F508</f>
        <v>585654716.96000004</v>
      </c>
      <c r="J9" s="1164" t="s">
        <v>367</v>
      </c>
    </row>
    <row r="10" spans="1:10" s="225" customFormat="1" ht="225" x14ac:dyDescent="0.25">
      <c r="A10" s="1166" t="str">
        <f>Субсидия!B79</f>
        <v xml:space="preserve">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v>
      </c>
      <c r="B10" s="1167" t="str">
        <f>Субсидия!C79</f>
        <v>08 1 R1 А3944</v>
      </c>
      <c r="C10" s="1168">
        <f>Субсидия!D81</f>
        <v>455371636.10999995</v>
      </c>
      <c r="D10" s="1121">
        <v>455371636.11000001</v>
      </c>
      <c r="E10" s="1121">
        <v>170817622.62</v>
      </c>
      <c r="F10" s="1169">
        <f t="shared" si="0"/>
        <v>0</v>
      </c>
      <c r="G10" s="1169">
        <f t="shared" si="1"/>
        <v>0</v>
      </c>
      <c r="H10" s="1168">
        <f>Субсидия!E81</f>
        <v>455371636.10999995</v>
      </c>
      <c r="I10" s="1168">
        <f>Субсидия!F81</f>
        <v>170817622.62</v>
      </c>
      <c r="J10" s="1164" t="s">
        <v>367</v>
      </c>
    </row>
    <row r="11" spans="1:10" s="225" customFormat="1" ht="240" x14ac:dyDescent="0.25">
      <c r="A11" s="220" t="str">
        <f>Субсидия!B82</f>
        <v>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v>
      </c>
      <c r="B11" s="227" t="str">
        <f>Субсидия!C82</f>
        <v>08 3 01 86030</v>
      </c>
      <c r="C11" s="224">
        <f>Субсидия!D84</f>
        <v>1055882453.5599999</v>
      </c>
      <c r="D11" s="1121">
        <v>1055882453.5599999</v>
      </c>
      <c r="E11" s="1121">
        <v>66310013.82</v>
      </c>
      <c r="F11" s="242">
        <f t="shared" si="0"/>
        <v>0</v>
      </c>
      <c r="G11" s="242">
        <f t="shared" si="1"/>
        <v>0</v>
      </c>
      <c r="H11" s="224">
        <f>Субсидия!E84</f>
        <v>467981942.56</v>
      </c>
      <c r="I11" s="224">
        <f>Субсидия!F84</f>
        <v>66310013.819999993</v>
      </c>
      <c r="J11" s="1165"/>
    </row>
    <row r="12" spans="1:10" ht="180" x14ac:dyDescent="0.25">
      <c r="A12" s="220" t="str">
        <f>Субсидия!B178</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2" s="227" t="str">
        <f>Субсидия!C178</f>
        <v>09 1 F1 50212</v>
      </c>
      <c r="C12" s="224">
        <f>Субсидия!D180+Субсидия!D183</f>
        <v>125304130.20999998</v>
      </c>
      <c r="D12" s="1121">
        <v>125304130.20999999</v>
      </c>
      <c r="E12" s="1121">
        <v>0</v>
      </c>
      <c r="F12" s="229">
        <f t="shared" si="0"/>
        <v>0</v>
      </c>
      <c r="G12" s="229">
        <f t="shared" si="1"/>
        <v>0</v>
      </c>
      <c r="H12" s="224">
        <f>Субсидия!E180+Субсидия!E183</f>
        <v>23902693.68</v>
      </c>
      <c r="I12" s="224">
        <f>Субсидия!F180+Субсидия!F183</f>
        <v>0</v>
      </c>
    </row>
    <row r="13" spans="1:10" s="225" customFormat="1" ht="135" x14ac:dyDescent="0.25">
      <c r="A13" s="220" t="str">
        <f>Субсидия!B92</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13" s="227" t="str">
        <f>Субсидия!C92</f>
        <v>09 1 F1 50213</v>
      </c>
      <c r="C13" s="224">
        <f>Субсидия!D94+Субсидия!D97</f>
        <v>1097265699.99</v>
      </c>
      <c r="D13" s="1121">
        <v>1097265699.99</v>
      </c>
      <c r="E13" s="1121">
        <v>233962981.84999999</v>
      </c>
      <c r="F13" s="242">
        <f t="shared" si="0"/>
        <v>0</v>
      </c>
      <c r="G13" s="242">
        <f t="shared" si="1"/>
        <v>0</v>
      </c>
      <c r="H13" s="224">
        <f>Субсидия!E94+Субсидия!E97</f>
        <v>1067584691.1</v>
      </c>
      <c r="I13" s="224">
        <f>Субсидия!F94+Субсидия!F97</f>
        <v>233962981.84999999</v>
      </c>
      <c r="J13" s="1165"/>
    </row>
    <row r="14" spans="1:10" s="225" customFormat="1" ht="120" x14ac:dyDescent="0.25">
      <c r="A14" s="220" t="str">
        <f>Субсидия!B184</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4" s="227" t="str">
        <f>Субсидия!C184</f>
        <v xml:space="preserve">09 1 F1 50214 </v>
      </c>
      <c r="C14" s="224">
        <f>Субсидия!D186+Субсидия!D189</f>
        <v>153989323.89000002</v>
      </c>
      <c r="D14" s="1121">
        <v>153989323.88999999</v>
      </c>
      <c r="E14" s="1121">
        <v>68208891.629999995</v>
      </c>
      <c r="F14" s="242">
        <f t="shared" si="0"/>
        <v>0</v>
      </c>
      <c r="G14" s="242">
        <f t="shared" si="1"/>
        <v>0</v>
      </c>
      <c r="H14" s="224">
        <f>Субсидия!E186+Субсидия!E189</f>
        <v>86038007.210000008</v>
      </c>
      <c r="I14" s="224">
        <f>Субсидия!F186+Субсидия!F189</f>
        <v>68208891.63000001</v>
      </c>
      <c r="J14" s="1165"/>
    </row>
    <row r="15" spans="1:10" s="225" customFormat="1" ht="150" x14ac:dyDescent="0.25">
      <c r="A15" s="220" t="str">
        <f>Субсидия!B512</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5" s="221" t="str">
        <f>Субсидия!C512</f>
        <v>10 4 01 86080</v>
      </c>
      <c r="C15" s="224">
        <f>Субсидия!D514</f>
        <v>136500000</v>
      </c>
      <c r="D15" s="1121">
        <v>136500000</v>
      </c>
      <c r="E15" s="1121">
        <v>0</v>
      </c>
      <c r="F15" s="242">
        <f t="shared" ref="F15:F16" si="2">C15-D15</f>
        <v>0</v>
      </c>
      <c r="G15" s="242">
        <f t="shared" ref="G15:G16" si="3">I15-E15</f>
        <v>0</v>
      </c>
      <c r="H15" s="224">
        <f>Субсидия!E514</f>
        <v>115409562.64000002</v>
      </c>
      <c r="I15" s="224">
        <f>Субсидия!F514</f>
        <v>0</v>
      </c>
      <c r="J15" s="1165"/>
    </row>
    <row r="16" spans="1:10" s="225" customFormat="1" ht="195" x14ac:dyDescent="0.25">
      <c r="A16" s="220" t="str">
        <f>Субсидия!B190</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6" s="221" t="str">
        <f>Субсидия!C190</f>
        <v>10 4 01 86180</v>
      </c>
      <c r="C16" s="224">
        <f>Субсидия!D192</f>
        <v>20000000</v>
      </c>
      <c r="D16" s="1121">
        <v>20000000</v>
      </c>
      <c r="E16" s="1121">
        <v>0</v>
      </c>
      <c r="F16" s="242">
        <f t="shared" si="2"/>
        <v>0</v>
      </c>
      <c r="G16" s="242">
        <f t="shared" si="3"/>
        <v>0</v>
      </c>
      <c r="H16" s="224">
        <f>Субсидия!E192</f>
        <v>22221320.420000002</v>
      </c>
      <c r="I16" s="224">
        <f>Субсидия!F192</f>
        <v>0</v>
      </c>
      <c r="J16" s="1165"/>
    </row>
    <row r="17" spans="1:10" s="225" customFormat="1" x14ac:dyDescent="0.25">
      <c r="A17" s="220"/>
      <c r="B17" s="1100"/>
      <c r="C17" s="224"/>
      <c r="D17" s="224"/>
      <c r="E17" s="224"/>
      <c r="F17" s="242"/>
      <c r="G17" s="242"/>
      <c r="H17" s="224"/>
      <c r="I17" s="224"/>
      <c r="J17" s="1165"/>
    </row>
    <row r="18" spans="1:10" x14ac:dyDescent="0.25">
      <c r="A18" s="234" t="s">
        <v>8</v>
      </c>
      <c r="B18" s="235"/>
      <c r="C18" s="237">
        <f>SUM(C6:C17)</f>
        <v>5504050582.3700008</v>
      </c>
      <c r="D18" s="237">
        <f t="shared" ref="D18:I18" si="4">SUM(D6:D17)</f>
        <v>5504050582.3700008</v>
      </c>
      <c r="E18" s="237">
        <f t="shared" si="4"/>
        <v>1406578492.1700001</v>
      </c>
      <c r="F18" s="237">
        <f t="shared" si="4"/>
        <v>0</v>
      </c>
      <c r="G18" s="237">
        <f t="shared" si="4"/>
        <v>0</v>
      </c>
      <c r="H18" s="237">
        <f t="shared" si="4"/>
        <v>4648772631.7800007</v>
      </c>
      <c r="I18" s="237">
        <f t="shared" si="4"/>
        <v>1406578492.1700001</v>
      </c>
    </row>
    <row r="19" spans="1:10" x14ac:dyDescent="0.25">
      <c r="C19" s="239">
        <f>C18-Субсидия!D519</f>
        <v>0</v>
      </c>
      <c r="D19" s="239"/>
      <c r="E19" s="239"/>
      <c r="F19" s="238"/>
      <c r="G19" s="238"/>
      <c r="H19" s="239">
        <f>H18-Субсидия!E519</f>
        <v>-3414035.1999988556</v>
      </c>
      <c r="I19" s="239">
        <f>I18-Субсидия!F519</f>
        <v>0</v>
      </c>
    </row>
    <row r="20" spans="1:10" x14ac:dyDescent="0.25">
      <c r="C20" s="239">
        <f>C18-Субсидия!D525</f>
        <v>0</v>
      </c>
      <c r="D20" s="239"/>
      <c r="E20" s="239"/>
      <c r="F20" s="238"/>
      <c r="G20" s="238"/>
      <c r="H20" s="239"/>
      <c r="I20" s="239">
        <f>I18-Субсидия!F525</f>
        <v>0</v>
      </c>
    </row>
  </sheetData>
  <mergeCells count="1">
    <mergeCell ref="A2:I2"/>
  </mergeCells>
  <pageMargins left="0.78740157480314965" right="0.39370078740157483" top="0.59055118110236227" bottom="0.59055118110236227" header="0.31496062992125984" footer="0.31496062992125984"/>
  <pageSetup paperSize="9" scale="56" fitToHeight="3" orientation="landscape" horizontalDpi="300" verticalDpi="300" r:id="rId1"/>
  <headerFooter>
    <oddFooter>&amp;L&amp;P&amp;R&amp;Z&amp;F&amp;A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31"/>
  <sheetViews>
    <sheetView topLeftCell="A2" zoomScale="60" zoomScaleNormal="60" zoomScaleSheetLayoutView="70" workbookViewId="0">
      <pane xSplit="1" ySplit="4" topLeftCell="B24" activePane="bottomRight" state="frozen"/>
      <selection activeCell="D27" sqref="D27"/>
      <selection pane="topRight" activeCell="D27" sqref="D27"/>
      <selection pane="bottomLeft" activeCell="D27" sqref="D27"/>
      <selection pane="bottomRight" activeCell="F25" sqref="F25:I25"/>
    </sheetView>
  </sheetViews>
  <sheetFormatPr defaultColWidth="8.85546875" defaultRowHeight="15" x14ac:dyDescent="0.25"/>
  <cols>
    <col min="1" max="1" width="65.85546875" style="214" customWidth="1"/>
    <col min="2" max="2" width="18" style="215" customWidth="1"/>
    <col min="3" max="3" width="21.85546875" style="214" customWidth="1"/>
    <col min="4" max="5" width="21.85546875" style="216" customWidth="1"/>
    <col min="6" max="7" width="21.85546875" style="214" customWidth="1"/>
    <col min="8" max="8" width="22" style="214" bestFit="1" customWidth="1"/>
    <col min="9" max="9" width="21.140625" style="214" customWidth="1"/>
    <col min="10" max="10" width="11.85546875" style="214" customWidth="1"/>
    <col min="11" max="16384" width="8.85546875" style="214"/>
  </cols>
  <sheetData>
    <row r="2" spans="1:9" x14ac:dyDescent="0.25">
      <c r="A2" s="1775" t="s">
        <v>355</v>
      </c>
      <c r="B2" s="1775"/>
      <c r="C2" s="1775"/>
      <c r="D2" s="1775"/>
      <c r="E2" s="1775"/>
      <c r="F2" s="1775"/>
      <c r="G2" s="1775"/>
      <c r="H2" s="1775"/>
      <c r="I2" s="1775"/>
    </row>
    <row r="4" spans="1:9" x14ac:dyDescent="0.25">
      <c r="I4" s="214" t="s">
        <v>356</v>
      </c>
    </row>
    <row r="5" spans="1:9" ht="30" x14ac:dyDescent="0.25">
      <c r="A5" s="217" t="s">
        <v>357</v>
      </c>
      <c r="B5" s="217" t="s">
        <v>358</v>
      </c>
      <c r="C5" s="217" t="s">
        <v>359</v>
      </c>
      <c r="D5" s="218" t="s">
        <v>360</v>
      </c>
      <c r="E5" s="218" t="s">
        <v>361</v>
      </c>
      <c r="F5" s="219" t="s">
        <v>362</v>
      </c>
      <c r="G5" s="219" t="s">
        <v>363</v>
      </c>
      <c r="H5" s="217" t="s">
        <v>364</v>
      </c>
      <c r="I5" s="217" t="s">
        <v>365</v>
      </c>
    </row>
    <row r="6" spans="1:9" s="225" customFormat="1" ht="60" x14ac:dyDescent="0.25">
      <c r="A6" s="220" t="str">
        <f>Субсидия!B279</f>
        <v>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v>
      </c>
      <c r="B6" s="221" t="str">
        <f>Субсидия!C279</f>
        <v>04 1 E1 52390</v>
      </c>
      <c r="C6" s="222">
        <f>Субсидия!D282+Субсидия!D286</f>
        <v>888555263.15999997</v>
      </c>
      <c r="D6" s="1121">
        <v>888555263.15999997</v>
      </c>
      <c r="E6" s="1121">
        <v>422861842.06</v>
      </c>
      <c r="F6" s="223">
        <f t="shared" ref="F6:F28" si="0">C6-D6</f>
        <v>0</v>
      </c>
      <c r="G6" s="223">
        <f t="shared" ref="G6:G11" si="1">I6-E6</f>
        <v>0</v>
      </c>
      <c r="H6" s="224">
        <f>Субсидия!E282+Субсидия!E286</f>
        <v>888555263.15999997</v>
      </c>
      <c r="I6" s="224">
        <f>Субсидия!F282+Субсидия!F286</f>
        <v>422861842.06</v>
      </c>
    </row>
    <row r="7" spans="1:9" s="225" customFormat="1" ht="90" x14ac:dyDescent="0.25">
      <c r="A7" s="220" t="str">
        <f>Субсидия!B299</f>
        <v>Модернизация инфраструктуры общего образования в целях достижения значений базового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v>
      </c>
      <c r="B7" s="221" t="str">
        <f>Субсидия!C299</f>
        <v>04 1 E1 A2390</v>
      </c>
      <c r="C7" s="226">
        <f>Субсидия!D302</f>
        <v>319132705.80000001</v>
      </c>
      <c r="D7" s="1121">
        <v>319132705.80000001</v>
      </c>
      <c r="E7" s="1121">
        <v>121024.36</v>
      </c>
      <c r="F7" s="223">
        <f t="shared" si="0"/>
        <v>0</v>
      </c>
      <c r="G7" s="223">
        <f t="shared" si="1"/>
        <v>0</v>
      </c>
      <c r="H7" s="224">
        <f>Субсидия!E302</f>
        <v>319132705.80000001</v>
      </c>
      <c r="I7" s="224">
        <f>Субсидия!F302</f>
        <v>121024.36</v>
      </c>
    </row>
    <row r="8" spans="1:9" s="225" customFormat="1" ht="135" x14ac:dyDescent="0.25">
      <c r="A8" s="220" t="str">
        <f>Субсидия!B400</f>
        <v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v>
      </c>
      <c r="B8" s="221" t="str">
        <f>Субсидия!C400</f>
        <v>05 1 A1 55131</v>
      </c>
      <c r="C8" s="226">
        <f>Субсидия!D403+Субсидия!D407</f>
        <v>40251081.079999998</v>
      </c>
      <c r="D8" s="1121">
        <v>40251081.079999998</v>
      </c>
      <c r="E8" s="1121">
        <v>21110008.829999998</v>
      </c>
      <c r="F8" s="223">
        <f t="shared" si="0"/>
        <v>0</v>
      </c>
      <c r="G8" s="223">
        <f t="shared" si="1"/>
        <v>0</v>
      </c>
      <c r="H8" s="224">
        <f>Субсидия!E403+Субсидия!E407</f>
        <v>40251081.079999998</v>
      </c>
      <c r="I8" s="224">
        <f>Субсидия!F403+Субсидия!F407</f>
        <v>21110008.829999998</v>
      </c>
    </row>
    <row r="9" spans="1:9" s="225" customFormat="1" ht="120" x14ac:dyDescent="0.25">
      <c r="A9" s="220" t="str">
        <f>Субсидия!B351</f>
        <v>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v>
      </c>
      <c r="B9" s="221" t="str">
        <f>Субсидия!C351</f>
        <v>05 1 A1 5519Б</v>
      </c>
      <c r="C9" s="222">
        <f>Субсидия!D354+Субсидия!D358</f>
        <v>6429189.1899999995</v>
      </c>
      <c r="D9" s="1121">
        <v>6429189.1900000004</v>
      </c>
      <c r="E9" s="1121">
        <v>655131.91</v>
      </c>
      <c r="F9" s="223">
        <f t="shared" si="0"/>
        <v>0</v>
      </c>
      <c r="G9" s="223">
        <f t="shared" si="1"/>
        <v>0</v>
      </c>
      <c r="H9" s="224">
        <f>Субсидия!E354+Субсидия!E358</f>
        <v>6429189.1900000004</v>
      </c>
      <c r="I9" s="224">
        <f>Субсидия!F354+Субсидия!F358</f>
        <v>655131.90999999992</v>
      </c>
    </row>
    <row r="10" spans="1:9" s="225" customFormat="1" ht="150" x14ac:dyDescent="0.25">
      <c r="A10" s="220" t="str">
        <f>Субсидия!B447</f>
        <v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0" s="221" t="str">
        <f>Субсидия!C447</f>
        <v xml:space="preserve">05 4 02 R5191 </v>
      </c>
      <c r="C10" s="222">
        <f>Субсидия!D450+Субсидия!D454</f>
        <v>4977432.43</v>
      </c>
      <c r="D10" s="1121">
        <v>4977432.43</v>
      </c>
      <c r="E10" s="1121">
        <v>3819646.76</v>
      </c>
      <c r="F10" s="223">
        <f t="shared" si="0"/>
        <v>0</v>
      </c>
      <c r="G10" s="223">
        <f t="shared" si="1"/>
        <v>0</v>
      </c>
      <c r="H10" s="224">
        <f>Субсидия!E450+Субсидия!E454</f>
        <v>169486532.43000001</v>
      </c>
      <c r="I10" s="224">
        <f>Субсидия!F450+Субсидия!F454</f>
        <v>3819646.7600000002</v>
      </c>
    </row>
    <row r="11" spans="1:9" s="225" customFormat="1" ht="135" x14ac:dyDescent="0.25">
      <c r="A11" s="220" t="str">
        <f>Субсидия!B203</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1" s="221" t="str">
        <f>Субсидия!C203</f>
        <v>06 1 F2 54240</v>
      </c>
      <c r="C11" s="222">
        <f>Субсидия!D206+Субсидия!D210</f>
        <v>166170808.09</v>
      </c>
      <c r="D11" s="1121">
        <v>166170808.09</v>
      </c>
      <c r="E11" s="1121">
        <v>145678877.53</v>
      </c>
      <c r="F11" s="223">
        <f t="shared" si="0"/>
        <v>0</v>
      </c>
      <c r="G11" s="223">
        <f t="shared" si="1"/>
        <v>0</v>
      </c>
      <c r="H11" s="224">
        <f>Субсидия!E206+Субсидия!E210</f>
        <v>178317363.83000001</v>
      </c>
      <c r="I11" s="224">
        <f>Субсидия!F206+Субсидия!F210</f>
        <v>145678877.53</v>
      </c>
    </row>
    <row r="12" spans="1:9" s="225" customFormat="1" ht="105" x14ac:dyDescent="0.25">
      <c r="A12" s="220" t="str">
        <f>Субсидия!B211</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2" s="227" t="str">
        <f>Субсидия!C211</f>
        <v>06 1 F2 55550</v>
      </c>
      <c r="C12" s="222">
        <f>Субсидия!D214+Субсидия!D218</f>
        <v>286720529.98000002</v>
      </c>
      <c r="D12" s="1121">
        <v>286720529.98000002</v>
      </c>
      <c r="E12" s="1121">
        <v>133033680.25</v>
      </c>
      <c r="F12" s="223">
        <f t="shared" si="0"/>
        <v>0</v>
      </c>
      <c r="G12" s="223">
        <f>I12-E12</f>
        <v>0</v>
      </c>
      <c r="H12" s="224">
        <f>Субсидия!E214+Субсидия!E218</f>
        <v>535280944.09000003</v>
      </c>
      <c r="I12" s="224">
        <f>Субсидия!F214+Субсидия!F218</f>
        <v>133033680.25</v>
      </c>
    </row>
    <row r="13" spans="1:9" s="225" customFormat="1" ht="180" x14ac:dyDescent="0.25">
      <c r="A13" s="220" t="str">
        <f>Субсидия!B219</f>
        <v>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3" s="227" t="str">
        <f>Субсидия!C219</f>
        <v>06 1 F2 А5551</v>
      </c>
      <c r="C13" s="222">
        <f>Субсидия!D222</f>
        <v>383254771.56999999</v>
      </c>
      <c r="D13" s="1121">
        <v>383254771.56999999</v>
      </c>
      <c r="E13" s="1121">
        <v>76254899.439999998</v>
      </c>
      <c r="F13" s="223">
        <f t="shared" si="0"/>
        <v>0</v>
      </c>
      <c r="G13" s="223">
        <f>I13-E13</f>
        <v>0</v>
      </c>
      <c r="H13" s="224">
        <f>Субсидия!E222</f>
        <v>383254771.56999999</v>
      </c>
      <c r="I13" s="224">
        <f>Субсидия!F222</f>
        <v>76254899.439999998</v>
      </c>
    </row>
    <row r="14" spans="1:9" s="225" customFormat="1" ht="165" x14ac:dyDescent="0.25">
      <c r="A14" s="220" t="str">
        <f>Субсидия!B143</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4" s="221" t="str">
        <f>Субсидия!C143</f>
        <v>06 2 01 09506</v>
      </c>
      <c r="C14" s="222">
        <f>Субсидия!D146</f>
        <v>37759000</v>
      </c>
      <c r="D14" s="1121">
        <v>37759000</v>
      </c>
      <c r="E14" s="1121">
        <v>0</v>
      </c>
      <c r="F14" s="223">
        <f t="shared" ref="F14" si="2">C14-D14</f>
        <v>0</v>
      </c>
      <c r="G14" s="223">
        <f>I14-E14</f>
        <v>0</v>
      </c>
      <c r="H14" s="224">
        <f>Субсидия!E146</f>
        <v>903434729.78000009</v>
      </c>
      <c r="I14" s="224">
        <f>Субсидия!F146</f>
        <v>0</v>
      </c>
    </row>
    <row r="15" spans="1:9" s="225" customFormat="1" ht="165" x14ac:dyDescent="0.25">
      <c r="A15" s="220" t="str">
        <f>Субсидия!B147</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5" s="221" t="str">
        <f>Субсидия!C147</f>
        <v>06 2 01 09507</v>
      </c>
      <c r="C15" s="222">
        <f>Субсидия!D150</f>
        <v>315676000</v>
      </c>
      <c r="D15" s="1121">
        <v>315676000</v>
      </c>
      <c r="E15" s="1121">
        <v>3599000</v>
      </c>
      <c r="F15" s="223">
        <f t="shared" si="0"/>
        <v>0</v>
      </c>
      <c r="G15" s="223">
        <f>I15-E15</f>
        <v>0</v>
      </c>
      <c r="H15" s="224">
        <f>Субсидия!E150</f>
        <v>315676000</v>
      </c>
      <c r="I15" s="224">
        <f>Субсидия!F150</f>
        <v>3599000</v>
      </c>
    </row>
    <row r="16" spans="1:9" s="225" customFormat="1" ht="150" x14ac:dyDescent="0.25">
      <c r="A16" s="220" t="str">
        <f>Субсидия!B151</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6" s="221" t="str">
        <f>Субсидия!C151</f>
        <v>06 2 01 09606</v>
      </c>
      <c r="C16" s="222">
        <f>Субсидия!D154</f>
        <v>25590065.600000001</v>
      </c>
      <c r="D16" s="1121">
        <v>25590065.600000001</v>
      </c>
      <c r="E16" s="1121">
        <v>0</v>
      </c>
      <c r="F16" s="223">
        <f t="shared" si="0"/>
        <v>0</v>
      </c>
      <c r="G16" s="223">
        <f t="shared" ref="G16" si="3">I16-E16</f>
        <v>0</v>
      </c>
      <c r="H16" s="224">
        <f>Субсидия!E154</f>
        <v>251003026.90000001</v>
      </c>
      <c r="I16" s="224">
        <f>Субсидия!F154</f>
        <v>0</v>
      </c>
    </row>
    <row r="17" spans="1:10" ht="150" x14ac:dyDescent="0.25">
      <c r="A17" s="228" t="str">
        <f>Субсидия!B155</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7" s="221" t="str">
        <f>Субсидия!C155</f>
        <v>06 2 01 09607</v>
      </c>
      <c r="C17" s="224">
        <f>Субсидия!D158</f>
        <v>203848820.44999999</v>
      </c>
      <c r="D17" s="1121">
        <v>203848820.44999999</v>
      </c>
      <c r="E17" s="1121">
        <v>1698440.66</v>
      </c>
      <c r="F17" s="229">
        <f>C17-D17</f>
        <v>0</v>
      </c>
      <c r="G17" s="229">
        <f>I17-E17</f>
        <v>0</v>
      </c>
      <c r="H17" s="224">
        <f>Субсидия!E158</f>
        <v>197889369.26000002</v>
      </c>
      <c r="I17" s="224">
        <f>Субсидия!F158</f>
        <v>1698440.66</v>
      </c>
    </row>
    <row r="18" spans="1:10" s="225" customFormat="1" ht="150" x14ac:dyDescent="0.25">
      <c r="A18" s="220" t="str">
        <f>Субсидия!B159</f>
        <v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8" s="227" t="str">
        <f>Субсидия!C159</f>
        <v>06 2 01 86120</v>
      </c>
      <c r="C18" s="222">
        <f>Субсидия!D162</f>
        <v>140722470.71000001</v>
      </c>
      <c r="D18" s="1121">
        <v>140722470.71000001</v>
      </c>
      <c r="E18" s="1121">
        <v>49383927.240000002</v>
      </c>
      <c r="F18" s="223">
        <f t="shared" si="0"/>
        <v>0</v>
      </c>
      <c r="G18" s="223">
        <f>I18-E18</f>
        <v>0</v>
      </c>
      <c r="H18" s="224">
        <f>Субсидия!E162</f>
        <v>140722470.71000001</v>
      </c>
      <c r="I18" s="224">
        <f>Субсидия!F162</f>
        <v>49383927.240000002</v>
      </c>
    </row>
    <row r="19" spans="1:10" s="225" customFormat="1" ht="180" x14ac:dyDescent="0.25">
      <c r="A19" s="220" t="str">
        <f>Субсидия!B166</f>
        <v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9" s="221" t="str">
        <f>Субсидия!C166</f>
        <v>06 2 01 97010</v>
      </c>
      <c r="C19" s="222">
        <f>Субсидия!D169</f>
        <v>360000000</v>
      </c>
      <c r="D19" s="1121">
        <v>360000000</v>
      </c>
      <c r="E19" s="1121">
        <v>305562281.93000001</v>
      </c>
      <c r="F19" s="223">
        <f t="shared" ref="F19" si="4">C19-D19</f>
        <v>0</v>
      </c>
      <c r="G19" s="223">
        <f>I19-E19</f>
        <v>0</v>
      </c>
      <c r="H19" s="224">
        <f>Субсидия!E169</f>
        <v>361012337.62</v>
      </c>
      <c r="I19" s="224">
        <f>Субсидия!F169</f>
        <v>305562281.93000001</v>
      </c>
    </row>
    <row r="20" spans="1:10" s="225" customFormat="1" ht="180" x14ac:dyDescent="0.25">
      <c r="A20" s="220" t="str">
        <f>Субсидия!B170</f>
        <v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0" s="221" t="str">
        <f>Субсидия!C170</f>
        <v>06 2 01 97020</v>
      </c>
      <c r="C20" s="222">
        <f>Субсидия!D173</f>
        <v>665560433.4000001</v>
      </c>
      <c r="D20" s="1121">
        <v>665560433.39999998</v>
      </c>
      <c r="E20" s="1121">
        <v>26217353.300000001</v>
      </c>
      <c r="F20" s="223">
        <f t="shared" si="0"/>
        <v>0</v>
      </c>
      <c r="G20" s="223">
        <f>I20-E20</f>
        <v>0</v>
      </c>
      <c r="H20" s="224">
        <f>Субсидия!E173</f>
        <v>783229791.67000008</v>
      </c>
      <c r="I20" s="224">
        <f>Субсидия!F173</f>
        <v>26217353.300000001</v>
      </c>
    </row>
    <row r="21" spans="1:10" s="225" customFormat="1" ht="180" x14ac:dyDescent="0.25">
      <c r="A21" s="220" t="str">
        <f>Субсидия!B174</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1" s="227" t="str">
        <f>Субсидия!C174</f>
        <v>06 4 01 86490</v>
      </c>
      <c r="C21" s="222">
        <f>Субсидия!D177</f>
        <v>617252125.29999995</v>
      </c>
      <c r="D21" s="1121">
        <v>617252125.29999995</v>
      </c>
      <c r="E21" s="1121">
        <v>236785751.40000001</v>
      </c>
      <c r="F21" s="223">
        <f t="shared" si="0"/>
        <v>0</v>
      </c>
      <c r="G21" s="223">
        <f>I21-E21</f>
        <v>0</v>
      </c>
      <c r="H21" s="224">
        <f>Субсидия!E177</f>
        <v>614522125.28999996</v>
      </c>
      <c r="I21" s="224">
        <f>Субсидия!F177</f>
        <v>236785751.39999998</v>
      </c>
    </row>
    <row r="22" spans="1:10" s="225" customFormat="1" ht="135" x14ac:dyDescent="0.25">
      <c r="A22" s="220" t="str">
        <f>Субсидия!B65</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2" s="221" t="str">
        <f>Субсидия!C65</f>
        <v>07 2 03 R3722</v>
      </c>
      <c r="C22" s="222">
        <f>Субсидия!D68+Субсидия!D72</f>
        <v>264732021</v>
      </c>
      <c r="D22" s="1121">
        <v>264732021</v>
      </c>
      <c r="E22" s="1121">
        <v>53185653.219999999</v>
      </c>
      <c r="F22" s="223">
        <f t="shared" si="0"/>
        <v>0</v>
      </c>
      <c r="G22" s="223">
        <f t="shared" ref="G22" si="5">I22-E22</f>
        <v>0</v>
      </c>
      <c r="H22" s="224">
        <f>Субсидия!E68+Субсидия!E72</f>
        <v>287564528.88999999</v>
      </c>
      <c r="I22" s="224">
        <f>Субсидия!F68+Субсидия!F72</f>
        <v>53185653.219999999</v>
      </c>
    </row>
    <row r="23" spans="1:10" s="225" customFormat="1" ht="195" x14ac:dyDescent="0.25">
      <c r="A23" s="220" t="str">
        <f>Субсидия!B52</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3" s="221" t="str">
        <f>Субсидия!C52</f>
        <v>08 1 R7 54010</v>
      </c>
      <c r="C23" s="222">
        <f>Субсидия!D55+Субсидия!D59</f>
        <v>1478672773.1399999</v>
      </c>
      <c r="D23" s="1121">
        <v>1478672773.1400001</v>
      </c>
      <c r="E23" s="1121">
        <v>602248163</v>
      </c>
      <c r="F23" s="223">
        <f>C23-D23</f>
        <v>0</v>
      </c>
      <c r="G23" s="223">
        <f>I23-E23</f>
        <v>0</v>
      </c>
      <c r="H23" s="224">
        <f>Субсидия!E55+Субсидия!E59</f>
        <v>1530298331.28</v>
      </c>
      <c r="I23" s="224">
        <f>Субсидия!F55+Субсидия!F59</f>
        <v>602248163</v>
      </c>
    </row>
    <row r="24" spans="1:10" s="225" customFormat="1" ht="165" x14ac:dyDescent="0.25">
      <c r="A24" s="220" t="str">
        <f>Субсидия!B88</f>
        <v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v>
      </c>
      <c r="B24" s="221" t="str">
        <f>Субсидия!C88</f>
        <v>08 4 01 86230</v>
      </c>
      <c r="C24" s="230">
        <f>Субсидия!D91</f>
        <v>150000000</v>
      </c>
      <c r="D24" s="1121">
        <v>150000000</v>
      </c>
      <c r="E24" s="1121">
        <v>115033663.2</v>
      </c>
      <c r="F24" s="223">
        <f>C24-D24</f>
        <v>0</v>
      </c>
      <c r="G24" s="223">
        <f>I24-E24</f>
        <v>0</v>
      </c>
      <c r="H24" s="224">
        <f>Субсидия!E91</f>
        <v>153729042.09999999</v>
      </c>
      <c r="I24" s="224">
        <f>Субсидия!F91</f>
        <v>115033663.19999999</v>
      </c>
    </row>
    <row r="25" spans="1:10" s="225" customFormat="1" ht="150" x14ac:dyDescent="0.25">
      <c r="A25" s="1166" t="str">
        <f>Субсидия!B512</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5" s="1167" t="str">
        <f>Субсидия!C512</f>
        <v>10 4 01 86080</v>
      </c>
      <c r="C25" s="1170">
        <f>Субсидия!D515</f>
        <v>105242639.40000001</v>
      </c>
      <c r="D25" s="1121">
        <v>105242639.40000001</v>
      </c>
      <c r="E25" s="1121">
        <v>4803504.5999999996</v>
      </c>
      <c r="F25" s="1171">
        <f t="shared" si="0"/>
        <v>0</v>
      </c>
      <c r="G25" s="1171">
        <f t="shared" ref="G25:G28" si="6">I25-E25</f>
        <v>0</v>
      </c>
      <c r="H25" s="1168">
        <f>Субсидия!E515</f>
        <v>105242639.40000001</v>
      </c>
      <c r="I25" s="1168">
        <f>Субсидия!F515</f>
        <v>4803504.5999999996</v>
      </c>
      <c r="J25" s="1164" t="s">
        <v>367</v>
      </c>
    </row>
    <row r="26" spans="1:10" s="225" customFormat="1" ht="255" x14ac:dyDescent="0.25">
      <c r="A26" s="220" t="str">
        <f>Субсидия!B254</f>
        <v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6" s="221" t="str">
        <f>Субсидия!C254</f>
        <v>11 3 02 86210</v>
      </c>
      <c r="C26" s="222">
        <f>Субсидия!D257</f>
        <v>36115290</v>
      </c>
      <c r="D26" s="1121">
        <v>36115290</v>
      </c>
      <c r="E26" s="1121">
        <v>0</v>
      </c>
      <c r="F26" s="223">
        <f>C26-D26</f>
        <v>0</v>
      </c>
      <c r="G26" s="223">
        <f>I26-E26</f>
        <v>0</v>
      </c>
      <c r="H26" s="224">
        <f>Субсидия!E257</f>
        <v>231504760</v>
      </c>
      <c r="I26" s="224">
        <f>Субсидия!F257</f>
        <v>0</v>
      </c>
    </row>
    <row r="27" spans="1:10" s="225" customFormat="1" ht="180" x14ac:dyDescent="0.25">
      <c r="A27" s="220" t="str">
        <f>Субсидия!B193</f>
        <v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7" s="227" t="str">
        <f>Субсидия!C193</f>
        <v>11 3 02 86380</v>
      </c>
      <c r="C27" s="222">
        <f>Субсидия!D196</f>
        <v>5000000</v>
      </c>
      <c r="D27" s="1121">
        <v>5000000</v>
      </c>
      <c r="E27" s="1121">
        <v>4130387.41</v>
      </c>
      <c r="F27" s="223">
        <f t="shared" ref="F27" si="7">C27-D27</f>
        <v>0</v>
      </c>
      <c r="G27" s="223">
        <f t="shared" ref="G27" si="8">I27-E27</f>
        <v>0</v>
      </c>
      <c r="H27" s="224">
        <f>Субсидия!E196</f>
        <v>5000000</v>
      </c>
      <c r="I27" s="224">
        <f>Субсидия!F196</f>
        <v>4130387.41</v>
      </c>
    </row>
    <row r="28" spans="1:10" x14ac:dyDescent="0.25">
      <c r="A28" s="231"/>
      <c r="B28" s="232"/>
      <c r="C28" s="222"/>
      <c r="D28" s="233"/>
      <c r="E28" s="233"/>
      <c r="F28" s="223">
        <f t="shared" si="0"/>
        <v>0</v>
      </c>
      <c r="G28" s="223">
        <f t="shared" si="6"/>
        <v>0</v>
      </c>
      <c r="H28" s="224"/>
      <c r="I28" s="224"/>
    </row>
    <row r="29" spans="1:10" x14ac:dyDescent="0.25">
      <c r="A29" s="234" t="s">
        <v>8</v>
      </c>
      <c r="B29" s="235"/>
      <c r="C29" s="236">
        <f t="shared" ref="C29:I29" si="9">SUM(C6:C28)</f>
        <v>6501663420.2999992</v>
      </c>
      <c r="D29" s="237">
        <f t="shared" si="9"/>
        <v>6501663420.3000002</v>
      </c>
      <c r="E29" s="237">
        <f t="shared" si="9"/>
        <v>2206183237.0999999</v>
      </c>
      <c r="F29" s="237">
        <f t="shared" si="9"/>
        <v>0</v>
      </c>
      <c r="G29" s="237">
        <f t="shared" si="9"/>
        <v>0</v>
      </c>
      <c r="H29" s="237">
        <f t="shared" si="9"/>
        <v>8401537004.0500002</v>
      </c>
      <c r="I29" s="237">
        <f t="shared" si="9"/>
        <v>2206183237.0999999</v>
      </c>
    </row>
    <row r="30" spans="1:10" x14ac:dyDescent="0.25">
      <c r="C30" s="238">
        <f>C29-Субсидия!D520</f>
        <v>0</v>
      </c>
      <c r="D30" s="238"/>
      <c r="E30" s="238"/>
      <c r="F30" s="239"/>
      <c r="G30" s="239"/>
      <c r="H30" s="239">
        <f>H29-Субсидия!E520</f>
        <v>0</v>
      </c>
      <c r="I30" s="239">
        <f>I29-Субсидия!F520</f>
        <v>0</v>
      </c>
    </row>
    <row r="31" spans="1:10" x14ac:dyDescent="0.25">
      <c r="C31" s="238">
        <f>C29-Субсидия!D527</f>
        <v>0</v>
      </c>
      <c r="D31" s="238"/>
      <c r="E31" s="238"/>
      <c r="F31" s="239"/>
      <c r="G31" s="239"/>
      <c r="H31" s="239"/>
      <c r="I31" s="239">
        <f>I29-Субсидия!F527</f>
        <v>0</v>
      </c>
    </row>
  </sheetData>
  <mergeCells count="1">
    <mergeCell ref="A2:I2"/>
  </mergeCells>
  <pageMargins left="0.78740157480314965" right="0.39370078740157483" top="0.59055118110236227" bottom="0.59055118110236227" header="0.31496062992125984" footer="0.31496062992125984"/>
  <pageSetup paperSize="9" scale="58" fitToHeight="6" orientation="landscape" horizontalDpi="300" verticalDpi="300" r:id="rId1"/>
  <headerFooter>
    <oddFooter>&amp;L&amp;P&amp;R&amp;Z&amp;F&amp;A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D43"/>
  <sheetViews>
    <sheetView topLeftCell="A2" zoomScale="40" zoomScaleNormal="40" zoomScaleSheetLayoutView="40" workbookViewId="0">
      <pane xSplit="1" ySplit="8" topLeftCell="B28" activePane="bottomRight" state="frozen"/>
      <selection activeCell="D27" sqref="D27"/>
      <selection pane="topRight" activeCell="D27" sqref="D27"/>
      <selection pane="bottomLeft" activeCell="D27" sqref="D27"/>
      <selection pane="bottomRight" activeCell="L41" sqref="L41"/>
    </sheetView>
  </sheetViews>
  <sheetFormatPr defaultColWidth="8.85546875" defaultRowHeight="12.75" x14ac:dyDescent="0.2"/>
  <cols>
    <col min="1" max="10" width="24.140625" style="1" customWidth="1"/>
    <col min="11" max="11" width="22.42578125" style="1" bestFit="1" customWidth="1"/>
    <col min="12" max="12" width="22.140625" style="1" bestFit="1" customWidth="1"/>
    <col min="13" max="13" width="23.85546875" style="1" customWidth="1"/>
    <col min="14" max="14" width="24.85546875" style="1" bestFit="1" customWidth="1"/>
    <col min="15" max="16" width="23.42578125" style="1" customWidth="1"/>
    <col min="17" max="18" width="24.42578125" style="1" bestFit="1" customWidth="1"/>
    <col min="19" max="20" width="23.42578125" style="1" customWidth="1"/>
    <col min="21" max="28" width="22.85546875" style="1" customWidth="1"/>
    <col min="29" max="34" width="25.42578125" style="1" customWidth="1"/>
    <col min="35" max="36" width="22.85546875" style="1" customWidth="1"/>
    <col min="37" max="42" width="25.42578125" style="1" customWidth="1"/>
    <col min="43" max="52" width="22.85546875" style="1" customWidth="1"/>
    <col min="53" max="53" width="24.42578125" style="1" bestFit="1" customWidth="1"/>
    <col min="54" max="68" width="22.85546875" style="1" customWidth="1"/>
    <col min="69" max="76" width="20" style="1" customWidth="1"/>
    <col min="77" max="84" width="22.42578125" style="1" customWidth="1"/>
    <col min="85" max="100" width="22.140625" style="1" customWidth="1"/>
    <col min="101" max="101" width="23.5703125" style="1" bestFit="1" customWidth="1"/>
    <col min="102" max="132" width="22.140625" style="1" customWidth="1"/>
    <col min="133" max="134" width="23.5703125" style="1" bestFit="1" customWidth="1"/>
    <col min="135" max="148" width="22.140625" style="1" customWidth="1"/>
    <col min="149" max="156" width="19.85546875" style="1" customWidth="1"/>
    <col min="157" max="158" width="21" style="1" bestFit="1" customWidth="1"/>
    <col min="159" max="172" width="19.85546875" style="1" customWidth="1"/>
    <col min="173" max="188" width="22.85546875" style="1" customWidth="1"/>
    <col min="189" max="196" width="22.140625" style="1" customWidth="1"/>
    <col min="197" max="204" width="22.85546875" style="1" customWidth="1"/>
    <col min="205" max="212" width="22.140625" style="1" customWidth="1"/>
    <col min="213" max="220" width="23.140625" style="1" customWidth="1"/>
    <col min="221" max="228" width="19.85546875" style="1" customWidth="1"/>
    <col min="229" max="236" width="22.42578125" style="1" customWidth="1"/>
    <col min="237" max="244" width="23.5703125" style="1" customWidth="1"/>
    <col min="245" max="252" width="21.85546875" style="1" customWidth="1"/>
    <col min="253" max="292" width="22.140625" style="1" customWidth="1"/>
    <col min="293" max="300" width="22.85546875" style="1" customWidth="1"/>
    <col min="301" max="301" width="21.85546875" style="1" customWidth="1"/>
    <col min="302" max="308" width="22.85546875" style="1" customWidth="1"/>
    <col min="309" max="310" width="23.5703125" style="1" bestFit="1" customWidth="1"/>
    <col min="311" max="316" width="22.140625" style="1" customWidth="1"/>
    <col min="317" max="16384" width="8.85546875" style="1"/>
  </cols>
  <sheetData>
    <row r="2" spans="1:316" ht="19.5" x14ac:dyDescent="0.3">
      <c r="O2" s="25" t="s">
        <v>260</v>
      </c>
      <c r="V2" s="25"/>
      <c r="W2" s="25"/>
      <c r="X2" s="25"/>
      <c r="Y2" s="25"/>
      <c r="Z2" s="25"/>
      <c r="AA2" s="25"/>
      <c r="AB2" s="25"/>
      <c r="AD2" s="25"/>
      <c r="AE2" s="25"/>
      <c r="AF2" s="25"/>
      <c r="AG2" s="25"/>
      <c r="AH2" s="25"/>
      <c r="AI2" s="25"/>
      <c r="AJ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row>
    <row r="3" spans="1:316" ht="19.5" x14ac:dyDescent="0.3">
      <c r="P3" s="26" t="str">
        <f>'Район  и  поселения'!E3</f>
        <v>ПО  СОСТОЯНИЮ  НА  1  ИЮЛЯ  2024  ГОДА</v>
      </c>
      <c r="Z3" s="26"/>
      <c r="AA3" s="26"/>
      <c r="AB3" s="26"/>
      <c r="AH3" s="26"/>
      <c r="AI3" s="26"/>
      <c r="AJ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row>
    <row r="5" spans="1:316" ht="13.5" thickBot="1" x14ac:dyDescent="0.25">
      <c r="M5" s="27"/>
      <c r="N5" s="27"/>
      <c r="O5" s="27"/>
      <c r="P5" s="27"/>
    </row>
    <row r="6" spans="1:316" ht="47.1" customHeight="1" thickBot="1" x14ac:dyDescent="0.25">
      <c r="A6" s="1717" t="s">
        <v>261</v>
      </c>
      <c r="B6" s="1810" t="s">
        <v>262</v>
      </c>
      <c r="C6" s="1811"/>
      <c r="D6" s="1811"/>
      <c r="E6" s="1811"/>
      <c r="F6" s="1811"/>
      <c r="G6" s="1811"/>
      <c r="H6" s="1811"/>
      <c r="I6" s="1812"/>
      <c r="J6" s="28"/>
      <c r="K6" s="28"/>
      <c r="L6" s="28"/>
      <c r="M6" s="1726" t="s">
        <v>263</v>
      </c>
      <c r="N6" s="1727"/>
      <c r="O6" s="1727"/>
      <c r="P6" s="1727"/>
      <c r="Q6" s="1727"/>
      <c r="R6" s="1727"/>
      <c r="S6" s="1727"/>
      <c r="T6" s="1727"/>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c r="JO6" s="29"/>
      <c r="JP6" s="29"/>
      <c r="JQ6" s="29"/>
      <c r="JR6" s="29"/>
      <c r="JS6" s="29"/>
      <c r="JT6" s="29"/>
      <c r="JU6" s="29"/>
      <c r="JV6" s="29"/>
      <c r="JW6" s="29"/>
      <c r="JX6" s="29"/>
      <c r="JY6" s="29"/>
      <c r="JZ6" s="29"/>
      <c r="KA6" s="29"/>
      <c r="KB6" s="29"/>
      <c r="KC6" s="29"/>
      <c r="KD6" s="29"/>
      <c r="KE6" s="29"/>
      <c r="KF6" s="29"/>
      <c r="KG6" s="29"/>
      <c r="KH6" s="29"/>
      <c r="KI6" s="29"/>
      <c r="KJ6" s="29"/>
      <c r="KK6" s="29"/>
      <c r="KL6" s="29"/>
      <c r="KM6" s="29"/>
      <c r="KN6" s="29"/>
      <c r="KO6" s="29"/>
      <c r="KP6" s="29"/>
      <c r="KQ6" s="29"/>
      <c r="KR6" s="29"/>
      <c r="KS6" s="29"/>
      <c r="KT6" s="29"/>
      <c r="KU6" s="29"/>
      <c r="KV6" s="29"/>
      <c r="KW6" s="29"/>
      <c r="KX6" s="29"/>
      <c r="KY6" s="29"/>
      <c r="KZ6" s="29"/>
      <c r="LA6" s="29"/>
      <c r="LB6" s="29"/>
      <c r="LC6" s="29"/>
      <c r="LD6" s="29"/>
    </row>
    <row r="7" spans="1:316" ht="58.5" customHeight="1" thickBot="1" x14ac:dyDescent="0.25">
      <c r="A7" s="1718"/>
      <c r="B7" s="1718" t="s">
        <v>264</v>
      </c>
      <c r="C7" s="1802" t="s">
        <v>265</v>
      </c>
      <c r="D7" s="1802" t="s">
        <v>266</v>
      </c>
      <c r="E7" s="1802" t="s">
        <v>267</v>
      </c>
      <c r="F7" s="1718" t="s">
        <v>268</v>
      </c>
      <c r="G7" s="1802" t="s">
        <v>265</v>
      </c>
      <c r="H7" s="1802" t="s">
        <v>266</v>
      </c>
      <c r="I7" s="1802" t="s">
        <v>267</v>
      </c>
      <c r="J7" s="30"/>
      <c r="K7" s="30"/>
      <c r="L7" s="30"/>
      <c r="M7" s="1718" t="s">
        <v>264</v>
      </c>
      <c r="N7" s="1802" t="s">
        <v>265</v>
      </c>
      <c r="O7" s="1802" t="s">
        <v>266</v>
      </c>
      <c r="P7" s="1802" t="s">
        <v>267</v>
      </c>
      <c r="Q7" s="1718" t="s">
        <v>268</v>
      </c>
      <c r="R7" s="1802" t="s">
        <v>265</v>
      </c>
      <c r="S7" s="1802" t="s">
        <v>266</v>
      </c>
      <c r="T7" s="1802" t="s">
        <v>267</v>
      </c>
      <c r="U7" s="1804" t="s">
        <v>269</v>
      </c>
      <c r="V7" s="1805"/>
      <c r="W7" s="1805"/>
      <c r="X7" s="1805"/>
      <c r="Y7" s="1805"/>
      <c r="Z7" s="1805"/>
      <c r="AA7" s="1805"/>
      <c r="AB7" s="1806"/>
      <c r="AC7" s="1813" t="s">
        <v>270</v>
      </c>
      <c r="AD7" s="1814"/>
      <c r="AE7" s="1814"/>
      <c r="AF7" s="1814"/>
      <c r="AG7" s="1814"/>
      <c r="AH7" s="1814"/>
      <c r="AI7" s="1814"/>
      <c r="AJ7" s="1814"/>
      <c r="AK7" s="1814"/>
      <c r="AL7" s="1814"/>
      <c r="AM7" s="1814"/>
      <c r="AN7" s="1814"/>
      <c r="AO7" s="1814"/>
      <c r="AP7" s="1814"/>
      <c r="AQ7" s="1814"/>
      <c r="AR7" s="1815"/>
      <c r="AS7" s="1710" t="s">
        <v>271</v>
      </c>
      <c r="AT7" s="1733"/>
      <c r="AU7" s="1733"/>
      <c r="AV7" s="1733"/>
      <c r="AW7" s="1733"/>
      <c r="AX7" s="1733"/>
      <c r="AY7" s="1733"/>
      <c r="AZ7" s="1733"/>
      <c r="BA7" s="1733"/>
      <c r="BB7" s="1733"/>
      <c r="BC7" s="1733"/>
      <c r="BD7" s="1733"/>
      <c r="BE7" s="1733"/>
      <c r="BF7" s="1733"/>
      <c r="BG7" s="1733"/>
      <c r="BH7" s="1733"/>
      <c r="BI7" s="1733"/>
      <c r="BJ7" s="1733"/>
      <c r="BK7" s="1733"/>
      <c r="BL7" s="1733"/>
      <c r="BM7" s="1733"/>
      <c r="BN7" s="1733"/>
      <c r="BO7" s="1733"/>
      <c r="BP7" s="1711"/>
      <c r="BQ7" s="1695" t="s">
        <v>272</v>
      </c>
      <c r="BR7" s="1699"/>
      <c r="BS7" s="1699"/>
      <c r="BT7" s="1699"/>
      <c r="BU7" s="1699"/>
      <c r="BV7" s="1699"/>
      <c r="BW7" s="1699"/>
      <c r="BX7" s="1696"/>
      <c r="BY7" s="1729" t="s">
        <v>273</v>
      </c>
      <c r="BZ7" s="1730"/>
      <c r="CA7" s="1730"/>
      <c r="CB7" s="1730"/>
      <c r="CC7" s="1730"/>
      <c r="CD7" s="1730"/>
      <c r="CE7" s="1730"/>
      <c r="CF7" s="1730"/>
      <c r="CG7" s="1695" t="s">
        <v>274</v>
      </c>
      <c r="CH7" s="1699"/>
      <c r="CI7" s="1699"/>
      <c r="CJ7" s="1699"/>
      <c r="CK7" s="1699"/>
      <c r="CL7" s="1699"/>
      <c r="CM7" s="1699"/>
      <c r="CN7" s="1699"/>
      <c r="CO7" s="1695" t="s">
        <v>275</v>
      </c>
      <c r="CP7" s="1699"/>
      <c r="CQ7" s="1699"/>
      <c r="CR7" s="1699"/>
      <c r="CS7" s="1699"/>
      <c r="CT7" s="1699"/>
      <c r="CU7" s="1699"/>
      <c r="CV7" s="1696"/>
      <c r="CW7" s="1710" t="s">
        <v>276</v>
      </c>
      <c r="CX7" s="1733"/>
      <c r="CY7" s="1733"/>
      <c r="CZ7" s="1733"/>
      <c r="DA7" s="1733"/>
      <c r="DB7" s="1733"/>
      <c r="DC7" s="1733"/>
      <c r="DD7" s="1733"/>
      <c r="DE7" s="1695" t="s">
        <v>277</v>
      </c>
      <c r="DF7" s="1699"/>
      <c r="DG7" s="1699"/>
      <c r="DH7" s="1699"/>
      <c r="DI7" s="1699"/>
      <c r="DJ7" s="1699"/>
      <c r="DK7" s="1699"/>
      <c r="DL7" s="1696"/>
      <c r="DM7" s="1695" t="s">
        <v>278</v>
      </c>
      <c r="DN7" s="1699"/>
      <c r="DO7" s="1699"/>
      <c r="DP7" s="1699"/>
      <c r="DQ7" s="1699"/>
      <c r="DR7" s="1699"/>
      <c r="DS7" s="1699"/>
      <c r="DT7" s="1696"/>
      <c r="DU7" s="1695" t="s">
        <v>279</v>
      </c>
      <c r="DV7" s="1699"/>
      <c r="DW7" s="1699"/>
      <c r="DX7" s="1699"/>
      <c r="DY7" s="1699"/>
      <c r="DZ7" s="1699"/>
      <c r="EA7" s="1699"/>
      <c r="EB7" s="1696"/>
      <c r="EC7" s="1695" t="s">
        <v>280</v>
      </c>
      <c r="ED7" s="1699"/>
      <c r="EE7" s="1699"/>
      <c r="EF7" s="1699"/>
      <c r="EG7" s="1699"/>
      <c r="EH7" s="1699"/>
      <c r="EI7" s="1699"/>
      <c r="EJ7" s="1696"/>
      <c r="EK7" s="1695" t="s">
        <v>280</v>
      </c>
      <c r="EL7" s="1699"/>
      <c r="EM7" s="1699"/>
      <c r="EN7" s="1699"/>
      <c r="EO7" s="1699"/>
      <c r="EP7" s="1699"/>
      <c r="EQ7" s="1699"/>
      <c r="ER7" s="1696"/>
      <c r="ES7" s="1695" t="s">
        <v>281</v>
      </c>
      <c r="ET7" s="1699"/>
      <c r="EU7" s="1699"/>
      <c r="EV7" s="1699"/>
      <c r="EW7" s="1699"/>
      <c r="EX7" s="1699"/>
      <c r="EY7" s="1699"/>
      <c r="EZ7" s="1696"/>
      <c r="FA7" s="1699" t="s">
        <v>282</v>
      </c>
      <c r="FB7" s="1699"/>
      <c r="FC7" s="1699"/>
      <c r="FD7" s="1699"/>
      <c r="FE7" s="1699"/>
      <c r="FF7" s="1699"/>
      <c r="FG7" s="1699"/>
      <c r="FH7" s="1696"/>
      <c r="FI7" s="1695" t="s">
        <v>283</v>
      </c>
      <c r="FJ7" s="1699"/>
      <c r="FK7" s="1699"/>
      <c r="FL7" s="1699"/>
      <c r="FM7" s="1699"/>
      <c r="FN7" s="1699"/>
      <c r="FO7" s="1699"/>
      <c r="FP7" s="1696"/>
      <c r="FQ7" s="1695" t="s">
        <v>284</v>
      </c>
      <c r="FR7" s="1699"/>
      <c r="FS7" s="1699"/>
      <c r="FT7" s="1699"/>
      <c r="FU7" s="1699"/>
      <c r="FV7" s="1699"/>
      <c r="FW7" s="1699"/>
      <c r="FX7" s="1696"/>
      <c r="FY7" s="1710" t="s">
        <v>285</v>
      </c>
      <c r="FZ7" s="1733"/>
      <c r="GA7" s="1733"/>
      <c r="GB7" s="1733"/>
      <c r="GC7" s="1733"/>
      <c r="GD7" s="1733"/>
      <c r="GE7" s="1733"/>
      <c r="GF7" s="1733"/>
      <c r="GG7" s="1733"/>
      <c r="GH7" s="1733"/>
      <c r="GI7" s="1733"/>
      <c r="GJ7" s="1733"/>
      <c r="GK7" s="1733"/>
      <c r="GL7" s="1733"/>
      <c r="GM7" s="1733"/>
      <c r="GN7" s="1711"/>
      <c r="GO7" s="1710" t="s">
        <v>286</v>
      </c>
      <c r="GP7" s="1733"/>
      <c r="GQ7" s="1733"/>
      <c r="GR7" s="1733"/>
      <c r="GS7" s="1733"/>
      <c r="GT7" s="1733"/>
      <c r="GU7" s="1733"/>
      <c r="GV7" s="1711"/>
      <c r="GW7" s="1710" t="s">
        <v>287</v>
      </c>
      <c r="GX7" s="1733"/>
      <c r="GY7" s="1733"/>
      <c r="GZ7" s="1733"/>
      <c r="HA7" s="1733"/>
      <c r="HB7" s="1733"/>
      <c r="HC7" s="1733"/>
      <c r="HD7" s="1733"/>
      <c r="HE7" s="1733"/>
      <c r="HF7" s="1733"/>
      <c r="HG7" s="1733"/>
      <c r="HH7" s="1733"/>
      <c r="HI7" s="1733"/>
      <c r="HJ7" s="1733"/>
      <c r="HK7" s="1733"/>
      <c r="HL7" s="1733"/>
      <c r="HM7" s="1733"/>
      <c r="HN7" s="1733"/>
      <c r="HO7" s="1733"/>
      <c r="HP7" s="1733"/>
      <c r="HQ7" s="1733"/>
      <c r="HR7" s="1733"/>
      <c r="HS7" s="1733"/>
      <c r="HT7" s="1711"/>
      <c r="HU7" s="1710" t="s">
        <v>288</v>
      </c>
      <c r="HV7" s="1733"/>
      <c r="HW7" s="1733"/>
      <c r="HX7" s="1733"/>
      <c r="HY7" s="1733"/>
      <c r="HZ7" s="1733"/>
      <c r="IA7" s="1733"/>
      <c r="IB7" s="1733"/>
      <c r="IC7" s="1710" t="s">
        <v>289</v>
      </c>
      <c r="ID7" s="1733"/>
      <c r="IE7" s="1733"/>
      <c r="IF7" s="1733"/>
      <c r="IG7" s="1733"/>
      <c r="IH7" s="1733"/>
      <c r="II7" s="1733"/>
      <c r="IJ7" s="1711"/>
      <c r="IK7" s="1729" t="s">
        <v>290</v>
      </c>
      <c r="IL7" s="1730"/>
      <c r="IM7" s="1730"/>
      <c r="IN7" s="1730"/>
      <c r="IO7" s="1730"/>
      <c r="IP7" s="1730"/>
      <c r="IQ7" s="1730"/>
      <c r="IR7" s="1731"/>
      <c r="IS7" s="1695" t="s">
        <v>291</v>
      </c>
      <c r="IT7" s="1699"/>
      <c r="IU7" s="1699"/>
      <c r="IV7" s="1699"/>
      <c r="IW7" s="1699"/>
      <c r="IX7" s="1699"/>
      <c r="IY7" s="1699"/>
      <c r="IZ7" s="1696"/>
      <c r="JA7" s="1695" t="s">
        <v>292</v>
      </c>
      <c r="JB7" s="1699"/>
      <c r="JC7" s="1699"/>
      <c r="JD7" s="1699"/>
      <c r="JE7" s="1699"/>
      <c r="JF7" s="1699"/>
      <c r="JG7" s="1699"/>
      <c r="JH7" s="1696"/>
      <c r="JI7" s="1695" t="s">
        <v>293</v>
      </c>
      <c r="JJ7" s="1699"/>
      <c r="JK7" s="1699"/>
      <c r="JL7" s="1699"/>
      <c r="JM7" s="1699"/>
      <c r="JN7" s="1699"/>
      <c r="JO7" s="1699"/>
      <c r="JP7" s="1696"/>
      <c r="JQ7" s="1695" t="s">
        <v>294</v>
      </c>
      <c r="JR7" s="1699"/>
      <c r="JS7" s="1699"/>
      <c r="JT7" s="1699"/>
      <c r="JU7" s="1699"/>
      <c r="JV7" s="1699"/>
      <c r="JW7" s="1699"/>
      <c r="JX7" s="1696"/>
      <c r="JY7" s="1710" t="s">
        <v>295</v>
      </c>
      <c r="JZ7" s="1733"/>
      <c r="KA7" s="1733"/>
      <c r="KB7" s="1733"/>
      <c r="KC7" s="1733"/>
      <c r="KD7" s="1733"/>
      <c r="KE7" s="1733"/>
      <c r="KF7" s="1711"/>
      <c r="KG7" s="1729" t="s">
        <v>296</v>
      </c>
      <c r="KH7" s="1730"/>
      <c r="KI7" s="1730"/>
      <c r="KJ7" s="1730"/>
      <c r="KK7" s="1730"/>
      <c r="KL7" s="1730"/>
      <c r="KM7" s="1730"/>
      <c r="KN7" s="1730"/>
      <c r="KO7" s="1730"/>
      <c r="KP7" s="1730"/>
      <c r="KQ7" s="1730"/>
      <c r="KR7" s="1730"/>
      <c r="KS7" s="1730"/>
      <c r="KT7" s="1730"/>
      <c r="KU7" s="1730"/>
      <c r="KV7" s="1730"/>
      <c r="KW7" s="1730"/>
      <c r="KX7" s="1730"/>
      <c r="KY7" s="1730"/>
      <c r="KZ7" s="1730"/>
      <c r="LA7" s="1730"/>
      <c r="LB7" s="1730"/>
      <c r="LC7" s="1730"/>
      <c r="LD7" s="1731"/>
    </row>
    <row r="8" spans="1:316" ht="102" customHeight="1" thickBot="1" x14ac:dyDescent="0.25">
      <c r="A8" s="1718"/>
      <c r="B8" s="1718"/>
      <c r="C8" s="1802"/>
      <c r="D8" s="1802"/>
      <c r="E8" s="1802"/>
      <c r="F8" s="1718"/>
      <c r="G8" s="1802"/>
      <c r="H8" s="1802"/>
      <c r="I8" s="1802"/>
      <c r="J8" s="30"/>
      <c r="K8" s="30"/>
      <c r="L8" s="30"/>
      <c r="M8" s="1718"/>
      <c r="N8" s="1802"/>
      <c r="O8" s="1802"/>
      <c r="P8" s="1802"/>
      <c r="Q8" s="1718"/>
      <c r="R8" s="1802"/>
      <c r="S8" s="1802"/>
      <c r="T8" s="1802"/>
      <c r="U8" s="1807"/>
      <c r="V8" s="1808"/>
      <c r="W8" s="1808"/>
      <c r="X8" s="1808"/>
      <c r="Y8" s="1808"/>
      <c r="Z8" s="1808"/>
      <c r="AA8" s="1808"/>
      <c r="AB8" s="1809"/>
      <c r="AC8" s="1816" t="s">
        <v>1298</v>
      </c>
      <c r="AD8" s="1817"/>
      <c r="AE8" s="1817"/>
      <c r="AF8" s="1817"/>
      <c r="AG8" s="1817"/>
      <c r="AH8" s="1817"/>
      <c r="AI8" s="1817"/>
      <c r="AJ8" s="1818"/>
      <c r="AK8" s="1816" t="s">
        <v>1299</v>
      </c>
      <c r="AL8" s="1817"/>
      <c r="AM8" s="1817"/>
      <c r="AN8" s="1817"/>
      <c r="AO8" s="1817"/>
      <c r="AP8" s="1817"/>
      <c r="AQ8" s="1817"/>
      <c r="AR8" s="1818"/>
      <c r="AS8" s="1710" t="s">
        <v>297</v>
      </c>
      <c r="AT8" s="1733"/>
      <c r="AU8" s="1733"/>
      <c r="AV8" s="1733"/>
      <c r="AW8" s="1733"/>
      <c r="AX8" s="1733"/>
      <c r="AY8" s="1733"/>
      <c r="AZ8" s="1733"/>
      <c r="BA8" s="1710" t="s">
        <v>298</v>
      </c>
      <c r="BB8" s="1733"/>
      <c r="BC8" s="1733"/>
      <c r="BD8" s="1733"/>
      <c r="BE8" s="1733"/>
      <c r="BF8" s="1733"/>
      <c r="BG8" s="1733"/>
      <c r="BH8" s="1711"/>
      <c r="BI8" s="1710" t="s">
        <v>299</v>
      </c>
      <c r="BJ8" s="1733"/>
      <c r="BK8" s="1733"/>
      <c r="BL8" s="1733"/>
      <c r="BM8" s="1733"/>
      <c r="BN8" s="1733"/>
      <c r="BO8" s="1733"/>
      <c r="BP8" s="1711"/>
      <c r="BQ8" s="1697"/>
      <c r="BR8" s="1700"/>
      <c r="BS8" s="1700"/>
      <c r="BT8" s="1700"/>
      <c r="BU8" s="1700"/>
      <c r="BV8" s="1700"/>
      <c r="BW8" s="1700"/>
      <c r="BX8" s="1698"/>
      <c r="BY8" s="1710" t="s">
        <v>300</v>
      </c>
      <c r="BZ8" s="1733"/>
      <c r="CA8" s="1733"/>
      <c r="CB8" s="1733"/>
      <c r="CC8" s="1733"/>
      <c r="CD8" s="1733"/>
      <c r="CE8" s="1733"/>
      <c r="CF8" s="1711"/>
      <c r="CG8" s="1697"/>
      <c r="CH8" s="1700"/>
      <c r="CI8" s="1700"/>
      <c r="CJ8" s="1700"/>
      <c r="CK8" s="1700"/>
      <c r="CL8" s="1700"/>
      <c r="CM8" s="1700"/>
      <c r="CN8" s="1700"/>
      <c r="CO8" s="1697"/>
      <c r="CP8" s="1700"/>
      <c r="CQ8" s="1700"/>
      <c r="CR8" s="1700"/>
      <c r="CS8" s="1700"/>
      <c r="CT8" s="1700"/>
      <c r="CU8" s="1700"/>
      <c r="CV8" s="1698"/>
      <c r="CW8" s="1710" t="s">
        <v>301</v>
      </c>
      <c r="CX8" s="1733"/>
      <c r="CY8" s="1733"/>
      <c r="CZ8" s="1733"/>
      <c r="DA8" s="1733"/>
      <c r="DB8" s="1733"/>
      <c r="DC8" s="1733"/>
      <c r="DD8" s="1733"/>
      <c r="DE8" s="1697"/>
      <c r="DF8" s="1700"/>
      <c r="DG8" s="1700"/>
      <c r="DH8" s="1700"/>
      <c r="DI8" s="1700"/>
      <c r="DJ8" s="1700"/>
      <c r="DK8" s="1700"/>
      <c r="DL8" s="1698"/>
      <c r="DM8" s="1697"/>
      <c r="DN8" s="1700"/>
      <c r="DO8" s="1700"/>
      <c r="DP8" s="1700"/>
      <c r="DQ8" s="1700"/>
      <c r="DR8" s="1700"/>
      <c r="DS8" s="1700"/>
      <c r="DT8" s="1698"/>
      <c r="DU8" s="1697"/>
      <c r="DV8" s="1700"/>
      <c r="DW8" s="1700"/>
      <c r="DX8" s="1700"/>
      <c r="DY8" s="1700"/>
      <c r="DZ8" s="1700"/>
      <c r="EA8" s="1700"/>
      <c r="EB8" s="1698"/>
      <c r="EC8" s="1697"/>
      <c r="ED8" s="1700"/>
      <c r="EE8" s="1700"/>
      <c r="EF8" s="1700"/>
      <c r="EG8" s="1700"/>
      <c r="EH8" s="1700"/>
      <c r="EI8" s="1700"/>
      <c r="EJ8" s="1698"/>
      <c r="EK8" s="1697"/>
      <c r="EL8" s="1700"/>
      <c r="EM8" s="1700"/>
      <c r="EN8" s="1700"/>
      <c r="EO8" s="1700"/>
      <c r="EP8" s="1700"/>
      <c r="EQ8" s="1700"/>
      <c r="ER8" s="1698"/>
      <c r="ES8" s="1697"/>
      <c r="ET8" s="1700"/>
      <c r="EU8" s="1700"/>
      <c r="EV8" s="1700"/>
      <c r="EW8" s="1700"/>
      <c r="EX8" s="1700"/>
      <c r="EY8" s="1700"/>
      <c r="EZ8" s="1698"/>
      <c r="FA8" s="1700"/>
      <c r="FB8" s="1700"/>
      <c r="FC8" s="1700"/>
      <c r="FD8" s="1700"/>
      <c r="FE8" s="1700"/>
      <c r="FF8" s="1700"/>
      <c r="FG8" s="1700"/>
      <c r="FH8" s="1698"/>
      <c r="FI8" s="1697"/>
      <c r="FJ8" s="1700"/>
      <c r="FK8" s="1700"/>
      <c r="FL8" s="1700"/>
      <c r="FM8" s="1700"/>
      <c r="FN8" s="1700"/>
      <c r="FO8" s="1700"/>
      <c r="FP8" s="1698"/>
      <c r="FQ8" s="1697"/>
      <c r="FR8" s="1700"/>
      <c r="FS8" s="1700"/>
      <c r="FT8" s="1700"/>
      <c r="FU8" s="1700"/>
      <c r="FV8" s="1700"/>
      <c r="FW8" s="1700"/>
      <c r="FX8" s="1698"/>
      <c r="FY8" s="1710" t="s">
        <v>302</v>
      </c>
      <c r="FZ8" s="1733"/>
      <c r="GA8" s="1733"/>
      <c r="GB8" s="1733"/>
      <c r="GC8" s="1733"/>
      <c r="GD8" s="1733"/>
      <c r="GE8" s="1733"/>
      <c r="GF8" s="1711"/>
      <c r="GG8" s="1710" t="s">
        <v>303</v>
      </c>
      <c r="GH8" s="1733"/>
      <c r="GI8" s="1733"/>
      <c r="GJ8" s="1733"/>
      <c r="GK8" s="1733"/>
      <c r="GL8" s="1733"/>
      <c r="GM8" s="1733"/>
      <c r="GN8" s="1711"/>
      <c r="GO8" s="1710" t="s">
        <v>304</v>
      </c>
      <c r="GP8" s="1733"/>
      <c r="GQ8" s="1733"/>
      <c r="GR8" s="1733"/>
      <c r="GS8" s="1733"/>
      <c r="GT8" s="1733"/>
      <c r="GU8" s="1733"/>
      <c r="GV8" s="1711"/>
      <c r="GW8" s="1710" t="s">
        <v>305</v>
      </c>
      <c r="GX8" s="1733"/>
      <c r="GY8" s="1733"/>
      <c r="GZ8" s="1733"/>
      <c r="HA8" s="1733"/>
      <c r="HB8" s="1733"/>
      <c r="HC8" s="1733"/>
      <c r="HD8" s="1711"/>
      <c r="HE8" s="1710" t="s">
        <v>306</v>
      </c>
      <c r="HF8" s="1733"/>
      <c r="HG8" s="1733"/>
      <c r="HH8" s="1733"/>
      <c r="HI8" s="1733"/>
      <c r="HJ8" s="1733"/>
      <c r="HK8" s="1733"/>
      <c r="HL8" s="1711"/>
      <c r="HM8" s="1710" t="s">
        <v>307</v>
      </c>
      <c r="HN8" s="1733"/>
      <c r="HO8" s="1733"/>
      <c r="HP8" s="1733"/>
      <c r="HQ8" s="1733"/>
      <c r="HR8" s="1733"/>
      <c r="HS8" s="1733"/>
      <c r="HT8" s="1711"/>
      <c r="HU8" s="1710" t="s">
        <v>308</v>
      </c>
      <c r="HV8" s="1733"/>
      <c r="HW8" s="1733"/>
      <c r="HX8" s="1733"/>
      <c r="HY8" s="1733"/>
      <c r="HZ8" s="1733"/>
      <c r="IA8" s="1733"/>
      <c r="IB8" s="1711"/>
      <c r="IC8" s="1710" t="s">
        <v>309</v>
      </c>
      <c r="ID8" s="1733"/>
      <c r="IE8" s="1733"/>
      <c r="IF8" s="1733"/>
      <c r="IG8" s="1733"/>
      <c r="IH8" s="1733"/>
      <c r="II8" s="1733"/>
      <c r="IJ8" s="1711"/>
      <c r="IK8" s="1710" t="s">
        <v>310</v>
      </c>
      <c r="IL8" s="1733"/>
      <c r="IM8" s="1733"/>
      <c r="IN8" s="1733"/>
      <c r="IO8" s="1733"/>
      <c r="IP8" s="1733"/>
      <c r="IQ8" s="1733"/>
      <c r="IR8" s="1711"/>
      <c r="IS8" s="1697"/>
      <c r="IT8" s="1700"/>
      <c r="IU8" s="1700"/>
      <c r="IV8" s="1700"/>
      <c r="IW8" s="1700"/>
      <c r="IX8" s="1700"/>
      <c r="IY8" s="1700"/>
      <c r="IZ8" s="1698"/>
      <c r="JA8" s="1697"/>
      <c r="JB8" s="1700"/>
      <c r="JC8" s="1700"/>
      <c r="JD8" s="1700"/>
      <c r="JE8" s="1700"/>
      <c r="JF8" s="1700"/>
      <c r="JG8" s="1700"/>
      <c r="JH8" s="1698"/>
      <c r="JI8" s="1697"/>
      <c r="JJ8" s="1700"/>
      <c r="JK8" s="1700"/>
      <c r="JL8" s="1700"/>
      <c r="JM8" s="1700"/>
      <c r="JN8" s="1700"/>
      <c r="JO8" s="1700"/>
      <c r="JP8" s="1698"/>
      <c r="JQ8" s="1697"/>
      <c r="JR8" s="1700"/>
      <c r="JS8" s="1700"/>
      <c r="JT8" s="1700"/>
      <c r="JU8" s="1700"/>
      <c r="JV8" s="1700"/>
      <c r="JW8" s="1700"/>
      <c r="JX8" s="1698"/>
      <c r="JY8" s="1710" t="s">
        <v>311</v>
      </c>
      <c r="JZ8" s="1733"/>
      <c r="KA8" s="1733"/>
      <c r="KB8" s="1733"/>
      <c r="KC8" s="1733"/>
      <c r="KD8" s="1733"/>
      <c r="KE8" s="1733"/>
      <c r="KF8" s="1711"/>
      <c r="KG8" s="1710" t="s">
        <v>312</v>
      </c>
      <c r="KH8" s="1733"/>
      <c r="KI8" s="1733"/>
      <c r="KJ8" s="1733"/>
      <c r="KK8" s="1733"/>
      <c r="KL8" s="1733"/>
      <c r="KM8" s="1733"/>
      <c r="KN8" s="1711"/>
      <c r="KO8" s="1710" t="s">
        <v>313</v>
      </c>
      <c r="KP8" s="1733"/>
      <c r="KQ8" s="1733"/>
      <c r="KR8" s="1733"/>
      <c r="KS8" s="1733"/>
      <c r="KT8" s="1733"/>
      <c r="KU8" s="1733"/>
      <c r="KV8" s="1733"/>
      <c r="KW8" s="1710" t="s">
        <v>314</v>
      </c>
      <c r="KX8" s="1733"/>
      <c r="KY8" s="1733"/>
      <c r="KZ8" s="1733"/>
      <c r="LA8" s="1733"/>
      <c r="LB8" s="1733"/>
      <c r="LC8" s="1733"/>
      <c r="LD8" s="1711"/>
    </row>
    <row r="9" spans="1:316" ht="21" customHeight="1" thickBot="1" x14ac:dyDescent="0.3">
      <c r="A9" s="31"/>
      <c r="B9" s="1732"/>
      <c r="C9" s="1803"/>
      <c r="D9" s="1803"/>
      <c r="E9" s="1803"/>
      <c r="F9" s="1732"/>
      <c r="G9" s="1803"/>
      <c r="H9" s="1803"/>
      <c r="I9" s="1803"/>
      <c r="J9" s="31"/>
      <c r="K9" s="31"/>
      <c r="L9" s="31"/>
      <c r="M9" s="1732"/>
      <c r="N9" s="1803"/>
      <c r="O9" s="1803"/>
      <c r="P9" s="1803"/>
      <c r="Q9" s="1732"/>
      <c r="R9" s="1803"/>
      <c r="S9" s="1803"/>
      <c r="T9" s="1803"/>
      <c r="U9" s="32" t="s">
        <v>315</v>
      </c>
      <c r="V9" s="33" t="s">
        <v>316</v>
      </c>
      <c r="W9" s="34" t="s">
        <v>266</v>
      </c>
      <c r="X9" s="35" t="s">
        <v>267</v>
      </c>
      <c r="Y9" s="36" t="s">
        <v>317</v>
      </c>
      <c r="Z9" s="33" t="s">
        <v>316</v>
      </c>
      <c r="AA9" s="34" t="s">
        <v>266</v>
      </c>
      <c r="AB9" s="35" t="s">
        <v>267</v>
      </c>
      <c r="AC9" s="37" t="s">
        <v>315</v>
      </c>
      <c r="AD9" s="33" t="s">
        <v>316</v>
      </c>
      <c r="AE9" s="38" t="s">
        <v>266</v>
      </c>
      <c r="AF9" s="39" t="s">
        <v>267</v>
      </c>
      <c r="AG9" s="1070" t="s">
        <v>317</v>
      </c>
      <c r="AH9" s="41" t="s">
        <v>316</v>
      </c>
      <c r="AI9" s="42" t="s">
        <v>266</v>
      </c>
      <c r="AJ9" s="39" t="s">
        <v>267</v>
      </c>
      <c r="AK9" s="37" t="s">
        <v>315</v>
      </c>
      <c r="AL9" s="33" t="s">
        <v>316</v>
      </c>
      <c r="AM9" s="38" t="s">
        <v>266</v>
      </c>
      <c r="AN9" s="39" t="s">
        <v>267</v>
      </c>
      <c r="AO9" s="40" t="s">
        <v>317</v>
      </c>
      <c r="AP9" s="41" t="s">
        <v>316</v>
      </c>
      <c r="AQ9" s="42" t="s">
        <v>266</v>
      </c>
      <c r="AR9" s="39" t="s">
        <v>267</v>
      </c>
      <c r="AS9" s="43" t="s">
        <v>315</v>
      </c>
      <c r="AT9" s="33" t="s">
        <v>316</v>
      </c>
      <c r="AU9" s="34" t="s">
        <v>266</v>
      </c>
      <c r="AV9" s="35" t="s">
        <v>267</v>
      </c>
      <c r="AW9" s="43" t="s">
        <v>317</v>
      </c>
      <c r="AX9" s="33" t="s">
        <v>316</v>
      </c>
      <c r="AY9" s="34" t="s">
        <v>266</v>
      </c>
      <c r="AZ9" s="35" t="s">
        <v>267</v>
      </c>
      <c r="BA9" s="32" t="s">
        <v>315</v>
      </c>
      <c r="BB9" s="41" t="s">
        <v>316</v>
      </c>
      <c r="BC9" s="34" t="s">
        <v>266</v>
      </c>
      <c r="BD9" s="35" t="s">
        <v>267</v>
      </c>
      <c r="BE9" s="43" t="s">
        <v>317</v>
      </c>
      <c r="BF9" s="33" t="s">
        <v>316</v>
      </c>
      <c r="BG9" s="34" t="s">
        <v>266</v>
      </c>
      <c r="BH9" s="35" t="s">
        <v>267</v>
      </c>
      <c r="BI9" s="32" t="s">
        <v>315</v>
      </c>
      <c r="BJ9" s="33" t="s">
        <v>316</v>
      </c>
      <c r="BK9" s="34" t="s">
        <v>266</v>
      </c>
      <c r="BL9" s="35" t="s">
        <v>267</v>
      </c>
      <c r="BM9" s="43" t="s">
        <v>317</v>
      </c>
      <c r="BN9" s="33" t="s">
        <v>316</v>
      </c>
      <c r="BO9" s="34" t="s">
        <v>266</v>
      </c>
      <c r="BP9" s="35" t="s">
        <v>267</v>
      </c>
      <c r="BQ9" s="32" t="s">
        <v>315</v>
      </c>
      <c r="BR9" s="33" t="s">
        <v>316</v>
      </c>
      <c r="BS9" s="34" t="s">
        <v>266</v>
      </c>
      <c r="BT9" s="35" t="s">
        <v>267</v>
      </c>
      <c r="BU9" s="43" t="s">
        <v>317</v>
      </c>
      <c r="BV9" s="33" t="s">
        <v>316</v>
      </c>
      <c r="BW9" s="34" t="s">
        <v>266</v>
      </c>
      <c r="BX9" s="35" t="s">
        <v>267</v>
      </c>
      <c r="BY9" s="32" t="s">
        <v>315</v>
      </c>
      <c r="BZ9" s="33" t="s">
        <v>316</v>
      </c>
      <c r="CA9" s="34" t="s">
        <v>266</v>
      </c>
      <c r="CB9" s="35" t="s">
        <v>267</v>
      </c>
      <c r="CC9" s="43" t="s">
        <v>317</v>
      </c>
      <c r="CD9" s="33" t="s">
        <v>316</v>
      </c>
      <c r="CE9" s="34" t="s">
        <v>266</v>
      </c>
      <c r="CF9" s="35" t="s">
        <v>267</v>
      </c>
      <c r="CG9" s="32" t="s">
        <v>315</v>
      </c>
      <c r="CH9" s="44" t="s">
        <v>316</v>
      </c>
      <c r="CI9" s="41" t="s">
        <v>266</v>
      </c>
      <c r="CJ9" s="45" t="s">
        <v>267</v>
      </c>
      <c r="CK9" s="46" t="s">
        <v>317</v>
      </c>
      <c r="CL9" s="44" t="s">
        <v>316</v>
      </c>
      <c r="CM9" s="41" t="s">
        <v>266</v>
      </c>
      <c r="CN9" s="35" t="s">
        <v>267</v>
      </c>
      <c r="CO9" s="32" t="s">
        <v>315</v>
      </c>
      <c r="CP9" s="33" t="s">
        <v>316</v>
      </c>
      <c r="CQ9" s="34" t="s">
        <v>266</v>
      </c>
      <c r="CR9" s="35" t="s">
        <v>267</v>
      </c>
      <c r="CS9" s="43" t="s">
        <v>317</v>
      </c>
      <c r="CT9" s="33" t="s">
        <v>316</v>
      </c>
      <c r="CU9" s="34" t="s">
        <v>266</v>
      </c>
      <c r="CV9" s="35" t="s">
        <v>267</v>
      </c>
      <c r="CW9" s="32" t="s">
        <v>315</v>
      </c>
      <c r="CX9" s="33" t="s">
        <v>316</v>
      </c>
      <c r="CY9" s="34" t="s">
        <v>266</v>
      </c>
      <c r="CZ9" s="35" t="s">
        <v>267</v>
      </c>
      <c r="DA9" s="43" t="s">
        <v>317</v>
      </c>
      <c r="DB9" s="33" t="s">
        <v>316</v>
      </c>
      <c r="DC9" s="34" t="s">
        <v>266</v>
      </c>
      <c r="DD9" s="35" t="s">
        <v>267</v>
      </c>
      <c r="DE9" s="36" t="s">
        <v>315</v>
      </c>
      <c r="DF9" s="33" t="s">
        <v>316</v>
      </c>
      <c r="DG9" s="34" t="s">
        <v>266</v>
      </c>
      <c r="DH9" s="35" t="s">
        <v>267</v>
      </c>
      <c r="DI9" s="43" t="s">
        <v>317</v>
      </c>
      <c r="DJ9" s="33" t="s">
        <v>316</v>
      </c>
      <c r="DK9" s="34" t="s">
        <v>266</v>
      </c>
      <c r="DL9" s="35" t="s">
        <v>267</v>
      </c>
      <c r="DM9" s="32" t="s">
        <v>315</v>
      </c>
      <c r="DN9" s="33" t="s">
        <v>316</v>
      </c>
      <c r="DO9" s="34" t="s">
        <v>266</v>
      </c>
      <c r="DP9" s="35" t="s">
        <v>267</v>
      </c>
      <c r="DQ9" s="43" t="s">
        <v>317</v>
      </c>
      <c r="DR9" s="33" t="s">
        <v>316</v>
      </c>
      <c r="DS9" s="34" t="s">
        <v>266</v>
      </c>
      <c r="DT9" s="35" t="s">
        <v>267</v>
      </c>
      <c r="DU9" s="32" t="s">
        <v>315</v>
      </c>
      <c r="DV9" s="33" t="s">
        <v>316</v>
      </c>
      <c r="DW9" s="34" t="s">
        <v>266</v>
      </c>
      <c r="DX9" s="35" t="s">
        <v>267</v>
      </c>
      <c r="DY9" s="43" t="s">
        <v>317</v>
      </c>
      <c r="DZ9" s="33" t="s">
        <v>316</v>
      </c>
      <c r="EA9" s="34" t="s">
        <v>266</v>
      </c>
      <c r="EB9" s="35" t="s">
        <v>267</v>
      </c>
      <c r="EC9" s="47" t="s">
        <v>315</v>
      </c>
      <c r="ED9" s="41" t="s">
        <v>316</v>
      </c>
      <c r="EE9" s="41" t="s">
        <v>266</v>
      </c>
      <c r="EF9" s="45" t="s">
        <v>267</v>
      </c>
      <c r="EG9" s="48" t="s">
        <v>317</v>
      </c>
      <c r="EH9" s="41" t="s">
        <v>316</v>
      </c>
      <c r="EI9" s="49" t="s">
        <v>266</v>
      </c>
      <c r="EJ9" s="41" t="s">
        <v>267</v>
      </c>
      <c r="EK9" s="47" t="s">
        <v>315</v>
      </c>
      <c r="EL9" s="41" t="s">
        <v>316</v>
      </c>
      <c r="EM9" s="49" t="s">
        <v>266</v>
      </c>
      <c r="EN9" s="41" t="s">
        <v>267</v>
      </c>
      <c r="EO9" s="46" t="s">
        <v>317</v>
      </c>
      <c r="EP9" s="41" t="s">
        <v>316</v>
      </c>
      <c r="EQ9" s="49" t="s">
        <v>266</v>
      </c>
      <c r="ER9" s="41" t="s">
        <v>267</v>
      </c>
      <c r="ES9" s="47" t="s">
        <v>315</v>
      </c>
      <c r="ET9" s="41" t="s">
        <v>316</v>
      </c>
      <c r="EU9" s="49" t="s">
        <v>266</v>
      </c>
      <c r="EV9" s="41" t="s">
        <v>267</v>
      </c>
      <c r="EW9" s="46" t="s">
        <v>317</v>
      </c>
      <c r="EX9" s="41" t="s">
        <v>316</v>
      </c>
      <c r="EY9" s="49" t="s">
        <v>266</v>
      </c>
      <c r="EZ9" s="41" t="s">
        <v>267</v>
      </c>
      <c r="FA9" s="43" t="s">
        <v>315</v>
      </c>
      <c r="FB9" s="34" t="s">
        <v>316</v>
      </c>
      <c r="FC9" s="50" t="s">
        <v>266</v>
      </c>
      <c r="FD9" s="34" t="s">
        <v>267</v>
      </c>
      <c r="FE9" s="36" t="s">
        <v>317</v>
      </c>
      <c r="FF9" s="34" t="s">
        <v>316</v>
      </c>
      <c r="FG9" s="50" t="s">
        <v>266</v>
      </c>
      <c r="FH9" s="34" t="s">
        <v>267</v>
      </c>
      <c r="FI9" s="32" t="s">
        <v>315</v>
      </c>
      <c r="FJ9" s="33" t="s">
        <v>316</v>
      </c>
      <c r="FK9" s="34" t="s">
        <v>266</v>
      </c>
      <c r="FL9" s="35" t="s">
        <v>267</v>
      </c>
      <c r="FM9" s="43" t="s">
        <v>317</v>
      </c>
      <c r="FN9" s="33" t="s">
        <v>316</v>
      </c>
      <c r="FO9" s="34" t="s">
        <v>266</v>
      </c>
      <c r="FP9" s="35" t="s">
        <v>267</v>
      </c>
      <c r="FQ9" s="32" t="s">
        <v>315</v>
      </c>
      <c r="FR9" s="33" t="s">
        <v>316</v>
      </c>
      <c r="FS9" s="34" t="s">
        <v>266</v>
      </c>
      <c r="FT9" s="35" t="s">
        <v>267</v>
      </c>
      <c r="FU9" s="43" t="s">
        <v>317</v>
      </c>
      <c r="FV9" s="33" t="s">
        <v>316</v>
      </c>
      <c r="FW9" s="34" t="s">
        <v>266</v>
      </c>
      <c r="FX9" s="35" t="s">
        <v>267</v>
      </c>
      <c r="FY9" s="32" t="s">
        <v>315</v>
      </c>
      <c r="FZ9" s="33" t="s">
        <v>316</v>
      </c>
      <c r="GA9" s="34" t="s">
        <v>266</v>
      </c>
      <c r="GB9" s="35" t="s">
        <v>267</v>
      </c>
      <c r="GC9" s="43" t="s">
        <v>317</v>
      </c>
      <c r="GD9" s="33" t="s">
        <v>316</v>
      </c>
      <c r="GE9" s="34" t="s">
        <v>266</v>
      </c>
      <c r="GF9" s="35" t="s">
        <v>267</v>
      </c>
      <c r="GG9" s="32" t="s">
        <v>315</v>
      </c>
      <c r="GH9" s="33" t="s">
        <v>316</v>
      </c>
      <c r="GI9" s="34" t="s">
        <v>266</v>
      </c>
      <c r="GJ9" s="35" t="s">
        <v>267</v>
      </c>
      <c r="GK9" s="43" t="s">
        <v>317</v>
      </c>
      <c r="GL9" s="33" t="s">
        <v>316</v>
      </c>
      <c r="GM9" s="34" t="s">
        <v>266</v>
      </c>
      <c r="GN9" s="35" t="s">
        <v>267</v>
      </c>
      <c r="GO9" s="32" t="s">
        <v>315</v>
      </c>
      <c r="GP9" s="33" t="s">
        <v>316</v>
      </c>
      <c r="GQ9" s="34" t="s">
        <v>266</v>
      </c>
      <c r="GR9" s="35" t="s">
        <v>267</v>
      </c>
      <c r="GS9" s="43" t="s">
        <v>317</v>
      </c>
      <c r="GT9" s="33" t="s">
        <v>316</v>
      </c>
      <c r="GU9" s="34" t="s">
        <v>266</v>
      </c>
      <c r="GV9" s="35" t="s">
        <v>267</v>
      </c>
      <c r="GW9" s="32" t="s">
        <v>315</v>
      </c>
      <c r="GX9" s="33" t="s">
        <v>316</v>
      </c>
      <c r="GY9" s="34" t="s">
        <v>266</v>
      </c>
      <c r="GZ9" s="35" t="s">
        <v>267</v>
      </c>
      <c r="HA9" s="43" t="s">
        <v>317</v>
      </c>
      <c r="HB9" s="33" t="s">
        <v>316</v>
      </c>
      <c r="HC9" s="34" t="s">
        <v>266</v>
      </c>
      <c r="HD9" s="50" t="s">
        <v>267</v>
      </c>
      <c r="HE9" s="51" t="s">
        <v>315</v>
      </c>
      <c r="HF9" s="33" t="s">
        <v>316</v>
      </c>
      <c r="HG9" s="34" t="s">
        <v>266</v>
      </c>
      <c r="HH9" s="35" t="s">
        <v>267</v>
      </c>
      <c r="HI9" s="43" t="s">
        <v>317</v>
      </c>
      <c r="HJ9" s="33" t="s">
        <v>316</v>
      </c>
      <c r="HK9" s="34" t="s">
        <v>266</v>
      </c>
      <c r="HL9" s="35" t="s">
        <v>267</v>
      </c>
      <c r="HM9" s="32" t="s">
        <v>315</v>
      </c>
      <c r="HN9" s="33" t="s">
        <v>316</v>
      </c>
      <c r="HO9" s="34" t="s">
        <v>266</v>
      </c>
      <c r="HP9" s="35" t="s">
        <v>267</v>
      </c>
      <c r="HQ9" s="43" t="s">
        <v>317</v>
      </c>
      <c r="HR9" s="33" t="s">
        <v>316</v>
      </c>
      <c r="HS9" s="34" t="s">
        <v>266</v>
      </c>
      <c r="HT9" s="35" t="s">
        <v>267</v>
      </c>
      <c r="HU9" s="32" t="s">
        <v>315</v>
      </c>
      <c r="HV9" s="33" t="s">
        <v>316</v>
      </c>
      <c r="HW9" s="34" t="s">
        <v>266</v>
      </c>
      <c r="HX9" s="35" t="s">
        <v>267</v>
      </c>
      <c r="HY9" s="43" t="s">
        <v>317</v>
      </c>
      <c r="HZ9" s="33" t="s">
        <v>316</v>
      </c>
      <c r="IA9" s="34" t="s">
        <v>266</v>
      </c>
      <c r="IB9" s="35" t="s">
        <v>267</v>
      </c>
      <c r="IC9" s="32" t="s">
        <v>315</v>
      </c>
      <c r="ID9" s="33" t="s">
        <v>316</v>
      </c>
      <c r="IE9" s="34" t="s">
        <v>266</v>
      </c>
      <c r="IF9" s="35" t="s">
        <v>267</v>
      </c>
      <c r="IG9" s="43" t="s">
        <v>317</v>
      </c>
      <c r="IH9" s="33" t="s">
        <v>316</v>
      </c>
      <c r="II9" s="34" t="s">
        <v>266</v>
      </c>
      <c r="IJ9" s="35" t="s">
        <v>267</v>
      </c>
      <c r="IK9" s="32" t="s">
        <v>315</v>
      </c>
      <c r="IL9" s="33" t="s">
        <v>316</v>
      </c>
      <c r="IM9" s="34" t="s">
        <v>266</v>
      </c>
      <c r="IN9" s="35" t="s">
        <v>267</v>
      </c>
      <c r="IO9" s="43" t="s">
        <v>317</v>
      </c>
      <c r="IP9" s="33" t="s">
        <v>316</v>
      </c>
      <c r="IQ9" s="34" t="s">
        <v>266</v>
      </c>
      <c r="IR9" s="35" t="s">
        <v>267</v>
      </c>
      <c r="IS9" s="32" t="s">
        <v>315</v>
      </c>
      <c r="IT9" s="33" t="s">
        <v>316</v>
      </c>
      <c r="IU9" s="34" t="s">
        <v>266</v>
      </c>
      <c r="IV9" s="35" t="s">
        <v>267</v>
      </c>
      <c r="IW9" s="43" t="s">
        <v>317</v>
      </c>
      <c r="IX9" s="33" t="s">
        <v>316</v>
      </c>
      <c r="IY9" s="34" t="s">
        <v>266</v>
      </c>
      <c r="IZ9" s="35" t="s">
        <v>267</v>
      </c>
      <c r="JA9" s="32" t="s">
        <v>315</v>
      </c>
      <c r="JB9" s="33" t="s">
        <v>316</v>
      </c>
      <c r="JC9" s="34" t="s">
        <v>266</v>
      </c>
      <c r="JD9" s="35" t="s">
        <v>267</v>
      </c>
      <c r="JE9" s="43" t="s">
        <v>317</v>
      </c>
      <c r="JF9" s="33" t="s">
        <v>316</v>
      </c>
      <c r="JG9" s="34" t="s">
        <v>266</v>
      </c>
      <c r="JH9" s="50" t="s">
        <v>267</v>
      </c>
      <c r="JI9" s="51" t="s">
        <v>315</v>
      </c>
      <c r="JJ9" s="33" t="s">
        <v>316</v>
      </c>
      <c r="JK9" s="34" t="s">
        <v>266</v>
      </c>
      <c r="JL9" s="35" t="s">
        <v>267</v>
      </c>
      <c r="JM9" s="43" t="s">
        <v>317</v>
      </c>
      <c r="JN9" s="33" t="s">
        <v>316</v>
      </c>
      <c r="JO9" s="34" t="s">
        <v>266</v>
      </c>
      <c r="JP9" s="35" t="s">
        <v>267</v>
      </c>
      <c r="JQ9" s="32" t="s">
        <v>315</v>
      </c>
      <c r="JR9" s="33" t="s">
        <v>316</v>
      </c>
      <c r="JS9" s="34" t="s">
        <v>266</v>
      </c>
      <c r="JT9" s="35" t="s">
        <v>267</v>
      </c>
      <c r="JU9" s="43" t="s">
        <v>317</v>
      </c>
      <c r="JV9" s="33" t="s">
        <v>316</v>
      </c>
      <c r="JW9" s="34" t="s">
        <v>266</v>
      </c>
      <c r="JX9" s="35" t="s">
        <v>267</v>
      </c>
      <c r="JY9" s="32" t="s">
        <v>315</v>
      </c>
      <c r="JZ9" s="33" t="s">
        <v>316</v>
      </c>
      <c r="KA9" s="34" t="s">
        <v>266</v>
      </c>
      <c r="KB9" s="35" t="s">
        <v>267</v>
      </c>
      <c r="KC9" s="43" t="s">
        <v>317</v>
      </c>
      <c r="KD9" s="33" t="s">
        <v>316</v>
      </c>
      <c r="KE9" s="34" t="s">
        <v>266</v>
      </c>
      <c r="KF9" s="35" t="s">
        <v>267</v>
      </c>
      <c r="KG9" s="43" t="s">
        <v>315</v>
      </c>
      <c r="KH9" s="33" t="s">
        <v>316</v>
      </c>
      <c r="KI9" s="34" t="s">
        <v>266</v>
      </c>
      <c r="KJ9" s="35" t="s">
        <v>267</v>
      </c>
      <c r="KK9" s="43" t="s">
        <v>317</v>
      </c>
      <c r="KL9" s="33" t="s">
        <v>316</v>
      </c>
      <c r="KM9" s="34" t="s">
        <v>266</v>
      </c>
      <c r="KN9" s="35" t="s">
        <v>267</v>
      </c>
      <c r="KO9" s="32" t="s">
        <v>315</v>
      </c>
      <c r="KP9" s="33" t="s">
        <v>316</v>
      </c>
      <c r="KQ9" s="34" t="s">
        <v>266</v>
      </c>
      <c r="KR9" s="35" t="s">
        <v>267</v>
      </c>
      <c r="KS9" s="43" t="s">
        <v>317</v>
      </c>
      <c r="KT9" s="33" t="s">
        <v>316</v>
      </c>
      <c r="KU9" s="34" t="s">
        <v>266</v>
      </c>
      <c r="KV9" s="35" t="s">
        <v>267</v>
      </c>
      <c r="KW9" s="32" t="s">
        <v>315</v>
      </c>
      <c r="KX9" s="33" t="s">
        <v>316</v>
      </c>
      <c r="KY9" s="34" t="s">
        <v>266</v>
      </c>
      <c r="KZ9" s="35" t="s">
        <v>267</v>
      </c>
      <c r="LA9" s="43" t="s">
        <v>317</v>
      </c>
      <c r="LB9" s="33" t="s">
        <v>316</v>
      </c>
      <c r="LC9" s="34" t="s">
        <v>266</v>
      </c>
      <c r="LD9" s="34" t="s">
        <v>267</v>
      </c>
    </row>
    <row r="10" spans="1:316" ht="25.5" customHeight="1" x14ac:dyDescent="0.25">
      <c r="A10" s="52" t="s">
        <v>318</v>
      </c>
      <c r="B10" s="53">
        <f>SUM(C10:E10)</f>
        <v>13601726.700000005</v>
      </c>
      <c r="C10" s="53">
        <f>N10-V10-AL10-AD10</f>
        <v>12910247.050000004</v>
      </c>
      <c r="D10" s="53">
        <f t="shared" ref="D10:E10" si="0">O10-W10-AM10-AE10</f>
        <v>572972.82000000007</v>
      </c>
      <c r="E10" s="53">
        <f t="shared" si="0"/>
        <v>118506.83</v>
      </c>
      <c r="F10" s="53">
        <f>SUM(G10:I10)</f>
        <v>0</v>
      </c>
      <c r="G10" s="53">
        <f>R10-Z10-AP10-AH10</f>
        <v>0</v>
      </c>
      <c r="H10" s="53">
        <f t="shared" ref="H10:H27" si="1">S10-AA10-AQ10-AI10</f>
        <v>0</v>
      </c>
      <c r="I10" s="53">
        <f t="shared" ref="I10:I27" si="2">T10-AB10-AR10-AJ10</f>
        <v>0</v>
      </c>
      <c r="J10" s="54"/>
      <c r="K10" s="55">
        <f>M10-'Федеральные  средства  по  МО'!N11-'Федеральные  средства  по  МО'!D11</f>
        <v>0</v>
      </c>
      <c r="L10" s="55">
        <f>Q10-'Федеральные  средства  по  МО'!O11-'Федеральные  средства  по  МО'!E11</f>
        <v>0</v>
      </c>
      <c r="M10" s="1084">
        <f>U10+AS10+BQ10+BY10+CG10+CW10+GW10+FI10+FQ10+HM10+GO10+HU10+IC10+IK10+KG10+KW10+HE10+CO10+KO10+BA10+JY10+DU10+JI10+JA10+FY10+BI10+JQ10+IS10+DE10+DM10+GG10+EK10+EC10+AK10+ES10+FA10+AC10</f>
        <v>62067352.300000004</v>
      </c>
      <c r="N10" s="1084">
        <f t="shared" ref="N10:T10" si="3">V10+AT10+BR10+BZ10+CH10+CX10+GX10+FJ10+FR10+HN10+GP10+HV10+ID10+IL10+KH10+KX10+HF10+CP10+KP10+BB10+JZ10+DV10+JJ10+JB10+FZ10+BJ10+JR10+IT10+DF10+DN10+GH10+EL10+ED10+AL10+ET10+FB10+AD10</f>
        <v>61375872.650000006</v>
      </c>
      <c r="O10" s="1084">
        <f t="shared" si="3"/>
        <v>572972.82000000007</v>
      </c>
      <c r="P10" s="1084">
        <f t="shared" si="3"/>
        <v>118506.83</v>
      </c>
      <c r="Q10" s="1084">
        <f t="shared" si="3"/>
        <v>0</v>
      </c>
      <c r="R10" s="1084">
        <f t="shared" si="3"/>
        <v>0</v>
      </c>
      <c r="S10" s="1084">
        <f t="shared" si="3"/>
        <v>0</v>
      </c>
      <c r="T10" s="1084">
        <f t="shared" si="3"/>
        <v>0</v>
      </c>
      <c r="U10" s="56">
        <f>'Федеральные  средства  по  МО'!F11</f>
        <v>0</v>
      </c>
      <c r="V10" s="57">
        <f>'Проверочная  таблица'!BT13</f>
        <v>0</v>
      </c>
      <c r="W10" s="56">
        <f>'Проверочная  таблица'!BX13</f>
        <v>0</v>
      </c>
      <c r="X10" s="57">
        <f>'Проверочная  таблица'!BZ13</f>
        <v>0</v>
      </c>
      <c r="Y10" s="56">
        <f>'Федеральные  средства  по  МО'!G11</f>
        <v>0</v>
      </c>
      <c r="Z10" s="57">
        <f>'Проверочная  таблица'!BU13</f>
        <v>0</v>
      </c>
      <c r="AA10" s="56">
        <f>'Проверочная  таблица'!BY13</f>
        <v>0</v>
      </c>
      <c r="AB10" s="57">
        <f>'Проверочная  таблица'!CA13</f>
        <v>0</v>
      </c>
      <c r="AC10" s="1075">
        <f>'Федеральные  средства  по  МО'!H11</f>
        <v>43666625.600000001</v>
      </c>
      <c r="AD10" s="1076">
        <f>AC10</f>
        <v>43666625.600000001</v>
      </c>
      <c r="AE10" s="1077"/>
      <c r="AF10" s="1078"/>
      <c r="AG10" s="1075">
        <f>'Федеральные  средства  по  МО'!I11</f>
        <v>0</v>
      </c>
      <c r="AH10" s="58">
        <f>AG10</f>
        <v>0</v>
      </c>
      <c r="AI10" s="57"/>
      <c r="AJ10" s="56"/>
      <c r="AK10" s="56">
        <f>'Федеральные  средства  по  МО'!J11</f>
        <v>4799000</v>
      </c>
      <c r="AL10" s="58">
        <f>AK10</f>
        <v>4799000</v>
      </c>
      <c r="AM10" s="57"/>
      <c r="AN10" s="59"/>
      <c r="AO10" s="56">
        <f>'Федеральные  средства  по  МО'!K11</f>
        <v>0</v>
      </c>
      <c r="AP10" s="58">
        <f>AO10</f>
        <v>0</v>
      </c>
      <c r="AQ10" s="57"/>
      <c r="AR10" s="56"/>
      <c r="AS10" s="57">
        <f>'Федеральные  средства  по  МО'!P11</f>
        <v>0</v>
      </c>
      <c r="AT10" s="56">
        <f>'Проверочная  таблица'!CX13</f>
        <v>0</v>
      </c>
      <c r="AU10" s="60"/>
      <c r="AV10" s="61"/>
      <c r="AW10" s="59">
        <f>'Федеральные  средства  по  МО'!Q11</f>
        <v>0</v>
      </c>
      <c r="AX10" s="56">
        <f>'Проверочная  таблица'!DE13</f>
        <v>0</v>
      </c>
      <c r="AY10" s="62"/>
      <c r="AZ10" s="60"/>
      <c r="BA10" s="59">
        <f>'Федеральные  средства  по  МО'!R11</f>
        <v>0</v>
      </c>
      <c r="BB10" s="56">
        <f>'Проверочная  таблица'!CZ13</f>
        <v>0</v>
      </c>
      <c r="BC10" s="57"/>
      <c r="BD10" s="56">
        <f>'Проверочная  таблица'!DL13</f>
        <v>0</v>
      </c>
      <c r="BE10" s="57">
        <f>'Федеральные  средства  по  МО'!S11</f>
        <v>0</v>
      </c>
      <c r="BF10" s="56">
        <f>'Проверочная  таблица'!DG13</f>
        <v>0</v>
      </c>
      <c r="BG10" s="60"/>
      <c r="BH10" s="56">
        <f>'Проверочная  таблица'!DO13</f>
        <v>0</v>
      </c>
      <c r="BI10" s="57">
        <f>'Федеральные  средства  по  МО'!T11</f>
        <v>0</v>
      </c>
      <c r="BJ10" s="56">
        <f>BI10</f>
        <v>0</v>
      </c>
      <c r="BK10" s="57"/>
      <c r="BL10" s="56"/>
      <c r="BM10" s="58">
        <f>'Федеральные  средства  по  МО'!U11</f>
        <v>0</v>
      </c>
      <c r="BN10" s="56">
        <f>BM10</f>
        <v>0</v>
      </c>
      <c r="BO10" s="62"/>
      <c r="BP10" s="62"/>
      <c r="BQ10" s="56">
        <f>'Федеральные  средства  по  МО'!V11</f>
        <v>0</v>
      </c>
      <c r="BR10" s="62">
        <f t="shared" ref="BR10:BR26" si="4">BQ10</f>
        <v>0</v>
      </c>
      <c r="BS10" s="63"/>
      <c r="BT10" s="60"/>
      <c r="BU10" s="56">
        <f>'Федеральные  средства  по  МО'!W11</f>
        <v>0</v>
      </c>
      <c r="BV10" s="62">
        <f t="shared" ref="BV10:BV26" si="5">BU10</f>
        <v>0</v>
      </c>
      <c r="BW10" s="63"/>
      <c r="BX10" s="60"/>
      <c r="BY10" s="56">
        <f>'Федеральные  средства  по  МО'!X11</f>
        <v>0</v>
      </c>
      <c r="BZ10" s="62">
        <f t="shared" ref="BZ10:BZ26" si="6">BY10</f>
        <v>0</v>
      </c>
      <c r="CA10" s="63"/>
      <c r="CB10" s="60"/>
      <c r="CC10" s="56">
        <f>'Федеральные  средства  по  МО'!Y11</f>
        <v>0</v>
      </c>
      <c r="CD10" s="62">
        <f t="shared" ref="CD10:CD26" si="7">CC10</f>
        <v>0</v>
      </c>
      <c r="CE10" s="63"/>
      <c r="CF10" s="60"/>
      <c r="CG10" s="56">
        <f>'Федеральные  средства  по  МО'!Z11</f>
        <v>0</v>
      </c>
      <c r="CH10" s="64">
        <f t="shared" ref="CH10:CH27" si="8">CG10</f>
        <v>0</v>
      </c>
      <c r="CI10" s="65"/>
      <c r="CJ10" s="66"/>
      <c r="CK10" s="53">
        <f>'Федеральные  средства  по  МО'!AA11</f>
        <v>0</v>
      </c>
      <c r="CL10" s="64">
        <f t="shared" ref="CL10:CL27" si="9">CK10</f>
        <v>0</v>
      </c>
      <c r="CM10" s="67"/>
      <c r="CN10" s="62"/>
      <c r="CO10" s="59">
        <f>'Федеральные  средства  по  МО'!AB11</f>
        <v>0</v>
      </c>
      <c r="CP10" s="56">
        <f>CO10</f>
        <v>0</v>
      </c>
      <c r="CQ10" s="57"/>
      <c r="CR10" s="56"/>
      <c r="CS10" s="57">
        <f>'Федеральные  средства  по  МО'!AC11</f>
        <v>0</v>
      </c>
      <c r="CT10" s="56">
        <f>CS10</f>
        <v>0</v>
      </c>
      <c r="CU10" s="57"/>
      <c r="CV10" s="56"/>
      <c r="CW10" s="59">
        <f>'Федеральные  средства  по  МО'!AD11</f>
        <v>0</v>
      </c>
      <c r="CX10" s="59">
        <f>'Проверочная  таблица'!FD13</f>
        <v>0</v>
      </c>
      <c r="CY10" s="56">
        <f>CW10-CX10</f>
        <v>0</v>
      </c>
      <c r="CZ10" s="58"/>
      <c r="DA10" s="57">
        <f>'Федеральные  средства  по  МО'!AE11</f>
        <v>0</v>
      </c>
      <c r="DB10" s="59">
        <f>'Проверочная  таблица'!FG13</f>
        <v>0</v>
      </c>
      <c r="DC10" s="56">
        <f>DA10-DB10</f>
        <v>0</v>
      </c>
      <c r="DD10" s="57"/>
      <c r="DE10" s="56">
        <f>'Федеральные  средства  по  МО'!AF11</f>
        <v>0</v>
      </c>
      <c r="DF10" s="58">
        <f>DE10</f>
        <v>0</v>
      </c>
      <c r="DG10" s="57"/>
      <c r="DH10" s="59"/>
      <c r="DI10" s="56">
        <f>'Федеральные  средства  по  МО'!AG11</f>
        <v>0</v>
      </c>
      <c r="DJ10" s="58">
        <f>DI10</f>
        <v>0</v>
      </c>
      <c r="DK10" s="57"/>
      <c r="DL10" s="59"/>
      <c r="DM10" s="56">
        <f>'Федеральные  средства  по  МО'!AH11</f>
        <v>0</v>
      </c>
      <c r="DN10" s="58">
        <f>DM10</f>
        <v>0</v>
      </c>
      <c r="DO10" s="57"/>
      <c r="DP10" s="59"/>
      <c r="DQ10" s="56">
        <f>'Федеральные  средства  по  МО'!AI11</f>
        <v>0</v>
      </c>
      <c r="DR10" s="58">
        <f>DQ10</f>
        <v>0</v>
      </c>
      <c r="DS10" s="57"/>
      <c r="DT10" s="56"/>
      <c r="DU10" s="59">
        <f>'Федеральные  средства  по  МО'!AJ11</f>
        <v>0</v>
      </c>
      <c r="DV10" s="56">
        <f>DU10</f>
        <v>0</v>
      </c>
      <c r="DW10" s="57"/>
      <c r="DX10" s="56"/>
      <c r="DY10" s="57">
        <f>'Федеральные  средства  по  МО'!AK11</f>
        <v>0</v>
      </c>
      <c r="DZ10" s="56">
        <f>DY10</f>
        <v>0</v>
      </c>
      <c r="EA10" s="57"/>
      <c r="EB10" s="59"/>
      <c r="EC10" s="56">
        <f>'Федеральные  средства  по  МО'!AL11</f>
        <v>0</v>
      </c>
      <c r="ED10" s="86">
        <f t="shared" ref="ED10:ED27" si="10">EC10</f>
        <v>0</v>
      </c>
      <c r="EE10" s="56"/>
      <c r="EF10" s="57"/>
      <c r="EG10" s="56">
        <f>'Федеральные  средства  по  МО'!AM11</f>
        <v>0</v>
      </c>
      <c r="EH10" s="86">
        <f t="shared" ref="EH10:EH27" si="11">EG10</f>
        <v>0</v>
      </c>
      <c r="EI10" s="56"/>
      <c r="EJ10" s="57"/>
      <c r="EK10" s="59">
        <f>'Федеральные  средства  по  МО'!AN11</f>
        <v>0</v>
      </c>
      <c r="EL10" s="56"/>
      <c r="EM10" s="57"/>
      <c r="EN10" s="56">
        <f>EK10</f>
        <v>0</v>
      </c>
      <c r="EO10" s="57">
        <f>'Федеральные  средства  по  МО'!AO11</f>
        <v>0</v>
      </c>
      <c r="EP10" s="56"/>
      <c r="EQ10" s="57"/>
      <c r="ER10" s="59">
        <f>EO10</f>
        <v>0</v>
      </c>
      <c r="ES10" s="1059">
        <f>'Федеральные  средства  по  МО'!AP11</f>
        <v>0</v>
      </c>
      <c r="ET10" s="1060">
        <f>'Проверочная  таблица'!IR13</f>
        <v>0</v>
      </c>
      <c r="EU10" s="1061">
        <f>'Проверочная  таблица'!JB13</f>
        <v>0</v>
      </c>
      <c r="EV10" s="1060">
        <f>'Проверочная  таблица'!JD13</f>
        <v>0</v>
      </c>
      <c r="EW10" s="1061">
        <f>'Федеральные  средства  по  МО'!AQ11</f>
        <v>0</v>
      </c>
      <c r="EX10" s="1060">
        <f>'Проверочная  таблица'!IU13</f>
        <v>0</v>
      </c>
      <c r="EY10" s="1061">
        <f>'Проверочная  таблица'!JC13</f>
        <v>0</v>
      </c>
      <c r="EZ10" s="1060">
        <f>'Проверочная  таблица'!JE13</f>
        <v>0</v>
      </c>
      <c r="FA10" s="58">
        <f>'Федеральные  средства  по  МО'!AR11</f>
        <v>0</v>
      </c>
      <c r="FB10" s="58"/>
      <c r="FC10" s="57"/>
      <c r="FD10" s="59"/>
      <c r="FE10" s="56">
        <f>'Федеральные  средства  по  МО'!AS11</f>
        <v>0</v>
      </c>
      <c r="FF10" s="58"/>
      <c r="FG10" s="57"/>
      <c r="FH10" s="56"/>
      <c r="FI10" s="58">
        <f>'Федеральные  средства  по  МО'!AT11</f>
        <v>0</v>
      </c>
      <c r="FJ10" s="62"/>
      <c r="FK10" s="60"/>
      <c r="FL10" s="61"/>
      <c r="FM10" s="56">
        <f>'Федеральные  средства  по  МО'!AU11</f>
        <v>0</v>
      </c>
      <c r="FN10" s="60"/>
      <c r="FO10" s="63"/>
      <c r="FP10" s="60"/>
      <c r="FQ10" s="59">
        <f>'Федеральные  средства  по  МО'!AV11</f>
        <v>0</v>
      </c>
      <c r="FR10" s="59">
        <f>'Проверочная  таблица'!JT13</f>
        <v>0</v>
      </c>
      <c r="FS10" s="56">
        <f>'Проверочная  таблица'!KF13</f>
        <v>-118506.83</v>
      </c>
      <c r="FT10" s="56">
        <f>'Проверочная  таблица'!KL13</f>
        <v>118506.83</v>
      </c>
      <c r="FU10" s="57">
        <f>'Федеральные  средства  по  МО'!AW11</f>
        <v>0</v>
      </c>
      <c r="FV10" s="56">
        <f>'Проверочная  таблица'!JW13</f>
        <v>0</v>
      </c>
      <c r="FW10" s="57">
        <f>'Проверочная  таблица'!KI13</f>
        <v>0</v>
      </c>
      <c r="FX10" s="56">
        <f>'Проверочная  таблица'!KO13</f>
        <v>0</v>
      </c>
      <c r="FY10" s="59">
        <f>'Федеральные  средства  по  МО'!AX11</f>
        <v>691479.65</v>
      </c>
      <c r="FZ10" s="56"/>
      <c r="GA10" s="57">
        <f>FY10</f>
        <v>691479.65</v>
      </c>
      <c r="GB10" s="56"/>
      <c r="GC10" s="56">
        <f>'Федеральные  средства  по  МО'!AY11</f>
        <v>0</v>
      </c>
      <c r="GD10" s="57"/>
      <c r="GE10" s="56">
        <f>GC10</f>
        <v>0</v>
      </c>
      <c r="GF10" s="57"/>
      <c r="GG10" s="56">
        <f>'Федеральные  средства  по  МО'!AZ11</f>
        <v>102723.4</v>
      </c>
      <c r="GH10" s="58">
        <f>GG10</f>
        <v>102723.4</v>
      </c>
      <c r="GI10" s="57"/>
      <c r="GJ10" s="59"/>
      <c r="GK10" s="56">
        <f>'Федеральные  средства  по  МО'!BA11</f>
        <v>0</v>
      </c>
      <c r="GL10" s="58">
        <f>GK10</f>
        <v>0</v>
      </c>
      <c r="GM10" s="57"/>
      <c r="GN10" s="56"/>
      <c r="GO10" s="58">
        <f>'Федеральные  средства  по  МО'!BB11</f>
        <v>5900400</v>
      </c>
      <c r="GP10" s="60">
        <f>GO10</f>
        <v>5900400</v>
      </c>
      <c r="GQ10" s="59">
        <f>'Проверочная  таблица'!MO13</f>
        <v>0</v>
      </c>
      <c r="GR10" s="56">
        <f>'Проверочная  таблица'!MW13</f>
        <v>0</v>
      </c>
      <c r="GS10" s="57">
        <f>'Федеральные  средства  по  МО'!BC11</f>
        <v>0</v>
      </c>
      <c r="GT10" s="59">
        <f>GS10</f>
        <v>0</v>
      </c>
      <c r="GU10" s="56">
        <f>'Проверочная  таблица'!MS13</f>
        <v>0</v>
      </c>
      <c r="GV10" s="58">
        <f>'Проверочная  таблица'!NA13</f>
        <v>0</v>
      </c>
      <c r="GW10" s="57">
        <f>'Федеральные  средства  по  МО'!BD11</f>
        <v>0</v>
      </c>
      <c r="GX10" s="56">
        <f>GW10</f>
        <v>0</v>
      </c>
      <c r="GY10" s="57"/>
      <c r="GZ10" s="59"/>
      <c r="HA10" s="56">
        <f>'Федеральные  средства  по  МО'!BE11</f>
        <v>0</v>
      </c>
      <c r="HB10" s="56">
        <f>HA10</f>
        <v>0</v>
      </c>
      <c r="HC10" s="58"/>
      <c r="HD10" s="60"/>
      <c r="HE10" s="56">
        <f>'Федеральные  средства  по  МО'!BF11</f>
        <v>0</v>
      </c>
      <c r="HF10" s="59">
        <f>HE10</f>
        <v>0</v>
      </c>
      <c r="HG10" s="56"/>
      <c r="HH10" s="58"/>
      <c r="HI10" s="58">
        <f>'Федеральные  средства  по  МО'!BG11</f>
        <v>0</v>
      </c>
      <c r="HJ10" s="59">
        <f t="shared" ref="HJ10:HJ27" si="12">HI10</f>
        <v>0</v>
      </c>
      <c r="HK10" s="56"/>
      <c r="HL10" s="58"/>
      <c r="HM10" s="59">
        <f>'Федеральные  средства  по  МО'!BH11</f>
        <v>118506.83</v>
      </c>
      <c r="HN10" s="59">
        <f>HM10-HP10</f>
        <v>118506.83</v>
      </c>
      <c r="HO10" s="56"/>
      <c r="HP10" s="58">
        <f>'Проверочная  таблица'!OF13</f>
        <v>0</v>
      </c>
      <c r="HQ10" s="58">
        <f>'Федеральные  средства  по  МО'!BI11</f>
        <v>0</v>
      </c>
      <c r="HR10" s="59">
        <f>HQ10-HT10</f>
        <v>0</v>
      </c>
      <c r="HS10" s="61"/>
      <c r="HT10" s="56">
        <f>'Проверочная  таблица'!OI13</f>
        <v>0</v>
      </c>
      <c r="HU10" s="58">
        <f>'Федеральные  средства  по  МО'!BJ11</f>
        <v>0</v>
      </c>
      <c r="HV10" s="62">
        <f>HU10</f>
        <v>0</v>
      </c>
      <c r="HW10" s="60"/>
      <c r="HX10" s="61"/>
      <c r="HY10" s="56">
        <f>'Федеральные  средства  по  МО'!BK11</f>
        <v>0</v>
      </c>
      <c r="HZ10" s="62">
        <f t="shared" ref="HZ10:HZ27" si="13">HY10</f>
        <v>0</v>
      </c>
      <c r="IA10" s="60"/>
      <c r="IB10" s="63"/>
      <c r="IC10" s="59">
        <f>'Федеральные  средства  по  МО'!BL11</f>
        <v>0</v>
      </c>
      <c r="ID10" s="59"/>
      <c r="IE10" s="56"/>
      <c r="IF10" s="58">
        <f>'Проверочная  таблица'!PR13</f>
        <v>0</v>
      </c>
      <c r="IG10" s="57">
        <f>'Федеральные  средства  по  МО'!BM11</f>
        <v>0</v>
      </c>
      <c r="IH10" s="59"/>
      <c r="II10" s="56"/>
      <c r="IJ10" s="58">
        <f>'Проверочная  таблица'!PV13</f>
        <v>0</v>
      </c>
      <c r="IK10" s="59">
        <f>'Федеральные  средства  по  МО'!BN11</f>
        <v>0</v>
      </c>
      <c r="IL10" s="59">
        <f>'Проверочная  таблица'!PZ13</f>
        <v>0</v>
      </c>
      <c r="IM10" s="56">
        <f>IK10-IL10</f>
        <v>0</v>
      </c>
      <c r="IN10" s="58"/>
      <c r="IO10" s="57">
        <f>'Федеральные  средства  по  МО'!BO11</f>
        <v>0</v>
      </c>
      <c r="IP10" s="59">
        <f>'Проверочная  таблица'!QE13</f>
        <v>0</v>
      </c>
      <c r="IQ10" s="56">
        <f>IO10-IP10</f>
        <v>0</v>
      </c>
      <c r="IR10" s="58"/>
      <c r="IS10" s="59">
        <f>'Федеральные  средства  по  МО'!BR11</f>
        <v>0</v>
      </c>
      <c r="IT10" s="56">
        <f>IS10</f>
        <v>0</v>
      </c>
      <c r="IU10" s="57"/>
      <c r="IV10" s="56"/>
      <c r="IW10" s="58">
        <f>'Федеральные  средства  по  МО'!BS11</f>
        <v>0</v>
      </c>
      <c r="IX10" s="58">
        <f>IW10</f>
        <v>0</v>
      </c>
      <c r="IY10" s="58"/>
      <c r="IZ10" s="56"/>
      <c r="JA10" s="59">
        <f>'Федеральные  средства  по  МО'!BT11</f>
        <v>0</v>
      </c>
      <c r="JB10" s="56">
        <f>'Проверочная  таблица'!RN13</f>
        <v>0</v>
      </c>
      <c r="JC10" s="57">
        <f>'Проверочная  таблица'!RT13</f>
        <v>0</v>
      </c>
      <c r="JD10" s="56">
        <f>'Проверочная  таблица'!RZ13</f>
        <v>0</v>
      </c>
      <c r="JE10" s="57">
        <f>'Федеральные  средства  по  МО'!BU11</f>
        <v>0</v>
      </c>
      <c r="JF10" s="56">
        <f>'Проверочная  таблица'!RK13</f>
        <v>0</v>
      </c>
      <c r="JG10" s="57">
        <f>'Проверочная  таблица'!RW13</f>
        <v>0</v>
      </c>
      <c r="JH10" s="59">
        <f>'Проверочная  таблица'!SC13</f>
        <v>0</v>
      </c>
      <c r="JI10" s="56">
        <f>'Федеральные  средства  по  МО'!BV11</f>
        <v>0</v>
      </c>
      <c r="JJ10" s="56">
        <f>JI10</f>
        <v>0</v>
      </c>
      <c r="JK10" s="57"/>
      <c r="JL10" s="56"/>
      <c r="JM10" s="58">
        <f>'Федеральные  средства  по  МО'!BW11</f>
        <v>0</v>
      </c>
      <c r="JN10" s="58">
        <f>JM10</f>
        <v>0</v>
      </c>
      <c r="JO10" s="57"/>
      <c r="JP10" s="59"/>
      <c r="JQ10" s="59">
        <f>'Федеральные  средства  по  МО'!BX11</f>
        <v>0</v>
      </c>
      <c r="JR10" s="56">
        <f>JQ10</f>
        <v>0</v>
      </c>
      <c r="JS10" s="57"/>
      <c r="JT10" s="56"/>
      <c r="JU10" s="58">
        <f>'Федеральные  средства  по  МО'!BY11</f>
        <v>0</v>
      </c>
      <c r="JV10" s="56">
        <f>JU10</f>
        <v>0</v>
      </c>
      <c r="JW10" s="57"/>
      <c r="JX10" s="56"/>
      <c r="JY10" s="59">
        <f>'Федеральные  средства  по  МО'!BZ11</f>
        <v>0</v>
      </c>
      <c r="JZ10" s="56">
        <f>JY10</f>
        <v>0</v>
      </c>
      <c r="KA10" s="57"/>
      <c r="KB10" s="56"/>
      <c r="KC10" s="57">
        <f>'Федеральные  средства  по  МО'!CA11</f>
        <v>0</v>
      </c>
      <c r="KD10" s="56">
        <f>KC10</f>
        <v>0</v>
      </c>
      <c r="KE10" s="57"/>
      <c r="KF10" s="56"/>
      <c r="KG10" s="57">
        <f>'Федеральные  средства  по  МО'!CB11</f>
        <v>6788616.8200000003</v>
      </c>
      <c r="KH10" s="59">
        <f>'Проверочная  таблица'!SZ13</f>
        <v>6788616.8200000003</v>
      </c>
      <c r="KI10" s="56">
        <f>'Проверочная  таблица'!UB13</f>
        <v>0</v>
      </c>
      <c r="KJ10" s="57">
        <f>'Проверочная  таблица'!UP13</f>
        <v>0</v>
      </c>
      <c r="KK10" s="56">
        <f>'Федеральные  средства  по  МО'!CC11</f>
        <v>0</v>
      </c>
      <c r="KL10" s="57">
        <f>'Проверочная  таблица'!TG13</f>
        <v>0</v>
      </c>
      <c r="KM10" s="56">
        <f>'Проверочная  таблица'!UI13</f>
        <v>0</v>
      </c>
      <c r="KN10" s="58">
        <f>'Проверочная  таблица'!UW13</f>
        <v>0</v>
      </c>
      <c r="KO10" s="57">
        <f>'Федеральные  средства  по  МО'!CD11</f>
        <v>0</v>
      </c>
      <c r="KP10" s="56">
        <f>'Проверочная  таблица'!TB13</f>
        <v>0</v>
      </c>
      <c r="KQ10" s="57">
        <f>KO10-KP10</f>
        <v>0</v>
      </c>
      <c r="KR10" s="56"/>
      <c r="KS10" s="57">
        <f>'Федеральные  средства  по  МО'!CE11</f>
        <v>0</v>
      </c>
      <c r="KT10" s="56">
        <f>'Проверочная  таблица'!TI13</f>
        <v>0</v>
      </c>
      <c r="KU10" s="57">
        <f>KS10-KT10</f>
        <v>0</v>
      </c>
      <c r="KV10" s="59"/>
      <c r="KW10" s="59">
        <f>'Федеральные  средства  по  МО'!CF11</f>
        <v>0</v>
      </c>
      <c r="KX10" s="59">
        <f>'Проверочная  таблица'!TD13</f>
        <v>0</v>
      </c>
      <c r="KY10" s="56">
        <f>'Проверочная  таблица'!UF13</f>
        <v>0</v>
      </c>
      <c r="KZ10" s="58"/>
      <c r="LA10" s="57">
        <f>'Федеральные  средства  по  МО'!CG11</f>
        <v>0</v>
      </c>
      <c r="LB10" s="59">
        <f>'Проверочная  таблица'!TK13</f>
        <v>0</v>
      </c>
      <c r="LC10" s="56">
        <f>'Проверочная  таблица'!TY13</f>
        <v>0</v>
      </c>
      <c r="LD10" s="56"/>
    </row>
    <row r="11" spans="1:316" ht="25.5" customHeight="1" x14ac:dyDescent="0.25">
      <c r="A11" s="70" t="s">
        <v>319</v>
      </c>
      <c r="B11" s="71">
        <f t="shared" ref="B11:B27" si="14">SUM(C11:E11)</f>
        <v>340107704.50999999</v>
      </c>
      <c r="C11" s="72">
        <f t="shared" ref="C11:C27" si="15">N11-V11-AL11-AD11</f>
        <v>128104559.00999999</v>
      </c>
      <c r="D11" s="72">
        <f t="shared" ref="D11:D27" si="16">O11-W11-AM11-AE11</f>
        <v>1573903.0900000003</v>
      </c>
      <c r="E11" s="72">
        <f t="shared" ref="E11:E27" si="17">P11-X11-AN11-AF11</f>
        <v>210429242.41</v>
      </c>
      <c r="F11" s="71">
        <f t="shared" ref="F11:F27" si="18">SUM(G11:I11)</f>
        <v>96633987.030000001</v>
      </c>
      <c r="G11" s="72">
        <f t="shared" ref="G11:G27" si="19">R11-Z11-AP11-AH11</f>
        <v>179042.4</v>
      </c>
      <c r="H11" s="72">
        <f t="shared" si="1"/>
        <v>0</v>
      </c>
      <c r="I11" s="72">
        <f t="shared" si="2"/>
        <v>96454944.629999995</v>
      </c>
      <c r="J11" s="54"/>
      <c r="K11" s="55">
        <f>M11-'Федеральные  средства  по  МО'!N12-'Федеральные  средства  по  МО'!D12</f>
        <v>0</v>
      </c>
      <c r="L11" s="55">
        <f>Q11-'Федеральные  средства  по  МО'!O12-'Федеральные  средства  по  МО'!E12</f>
        <v>0</v>
      </c>
      <c r="M11" s="1083">
        <f t="shared" ref="M11:M27" si="20">U11+AS11+BQ11+BY11+CG11+CW11+GW11+FI11+FQ11+HM11+GO11+HU11+IC11+IK11+KG11+KW11+HE11+CO11+KO11+BA11+JY11+DU11+JI11+JA11+FY11+BI11+JQ11+IS11+DE11+DM11+GG11+EK11+EC11+AK11+ES11+FA11+AC11</f>
        <v>396645704.50999999</v>
      </c>
      <c r="N11" s="72">
        <f t="shared" ref="N11:N27" si="21">V11+AT11+BR11+BZ11+CH11+CX11+GX11+FJ11+FR11+HN11+GP11+HV11+ID11+IL11+KH11+KX11+HF11+CP11+KP11+BB11+JZ11+DV11+JJ11+JB11+FZ11+BJ11+JR11+IT11+DF11+DN11+GH11+EL11+ED11+AL11+ET11+FB11+AD11</f>
        <v>184642559.00999999</v>
      </c>
      <c r="O11" s="72">
        <f t="shared" ref="O11:O27" si="22">W11+AU11+BS11+CA11+CI11+CY11+GY11+FK11+FS11+HO11+GQ11+HW11+IE11+IM11+KI11+KY11+HG11+CQ11+KQ11+BC11+KA11+DW11+JK11+JC11+GA11+BK11+JS11+IU11+DG11+DO11+GI11+EM11+EE11+AM11+EU11+FC11+AE11</f>
        <v>1573903.0900000003</v>
      </c>
      <c r="P11" s="72">
        <f t="shared" ref="P11:P27" si="23">X11+AV11+BT11+CB11+CJ11+CZ11+GZ11+FL11+FT11+HP11+GR11+HX11+IF11+IN11+KJ11+KZ11+HH11+CR11+KR11+BD11+KB11+DX11+JL11+JD11+GB11+BL11+JT11+IV11+DH11+DP11+GJ11+EN11+EF11+AN11+EV11+FD11+AF11</f>
        <v>210429242.41</v>
      </c>
      <c r="Q11" s="1083">
        <f t="shared" ref="Q11:Q27" si="24">Y11+AW11+BU11+CC11+CK11+DA11+HA11+FM11+FU11+HQ11+GS11+HY11+IG11+IO11+KK11+LA11+HI11+CS11+KS11+BE11+KC11+DY11+JM11+JE11+GC11+BM11+JU11+IW11+DI11+DQ11+GK11+EO11+EG11+AO11+EW11+FE11+AG11</f>
        <v>96633987.030000001</v>
      </c>
      <c r="R11" s="72">
        <f t="shared" ref="R11:R27" si="25">Z11+AX11+BV11+CD11+CL11+DB11+HB11+FN11+FV11+HR11+GT11+HZ11+IH11+IP11+KL11+LB11+HJ11+CT11+KT11+BF11+KD11+DZ11+JN11+JF11+GD11+BN11+JV11+IX11+DJ11+DR11+GL11+EP11+EH11+AP11+EX11+FF11+AH11</f>
        <v>179042.4</v>
      </c>
      <c r="S11" s="72">
        <f t="shared" ref="S11:S27" si="26">AA11+AY11+BW11+CE11+CM11+DC11+HC11+FO11+FW11+HS11+GU11+IA11+II11+IQ11+KM11+LC11+HK11+CU11+KU11+BG11+KE11+EA11+JO11+JG11+GE11+BO11+JW11+IY11+DK11+DS11+GM11+EQ11+EI11+AQ11+EY11+FG11+AI11</f>
        <v>0</v>
      </c>
      <c r="T11" s="72">
        <f t="shared" ref="T11:T27" si="27">AB11+AZ11+BX11+CF11+CN11+DD11+HD11+FP11+FX11+HT11+GV11+IB11+IJ11+IR11+KN11+LD11+HL11+CV11+KV11+BH11+KF11+EB11+JP11+JH11+GF11+BP11+JX11+IZ11+DL11+DT11+GN11+ER11+EJ11+AR11+EZ11+FH11+AJ11</f>
        <v>96454944.629999995</v>
      </c>
      <c r="U11" s="73">
        <f>'Федеральные  средства  по  МО'!F12</f>
        <v>0</v>
      </c>
      <c r="V11" s="69">
        <f>'Проверочная  таблица'!BT17</f>
        <v>0</v>
      </c>
      <c r="W11" s="74">
        <f>'Проверочная  таблица'!BX17</f>
        <v>0</v>
      </c>
      <c r="X11" s="69">
        <f>'Проверочная  таблица'!BZ17</f>
        <v>0</v>
      </c>
      <c r="Y11" s="73">
        <f>'Федеральные  средства  по  МО'!G12</f>
        <v>0</v>
      </c>
      <c r="Z11" s="69">
        <f>'Проверочная  таблица'!BU17</f>
        <v>0</v>
      </c>
      <c r="AA11" s="74">
        <f>'Проверочная  таблица'!BY17</f>
        <v>0</v>
      </c>
      <c r="AB11" s="69">
        <f>'Проверочная  таблица'!CA17</f>
        <v>0</v>
      </c>
      <c r="AC11" s="1043">
        <f>'Федеральные  средства  по  МО'!H12</f>
        <v>49290000</v>
      </c>
      <c r="AD11" s="75">
        <f t="shared" ref="AD11:AD27" si="28">AC11</f>
        <v>49290000</v>
      </c>
      <c r="AE11" s="69"/>
      <c r="AF11" s="76"/>
      <c r="AG11" s="1043">
        <f>'Федеральные  средства  по  МО'!I12</f>
        <v>0</v>
      </c>
      <c r="AH11" s="75">
        <f t="shared" ref="AH11:AH27" si="29">AG11</f>
        <v>0</v>
      </c>
      <c r="AI11" s="69"/>
      <c r="AJ11" s="74"/>
      <c r="AK11" s="73">
        <f>'Федеральные  средства  по  МО'!J12</f>
        <v>7248000</v>
      </c>
      <c r="AL11" s="75">
        <f t="shared" ref="AL11:AL27" si="30">AK11</f>
        <v>7248000</v>
      </c>
      <c r="AM11" s="69"/>
      <c r="AN11" s="76"/>
      <c r="AO11" s="73">
        <f>'Федеральные  средства  по  МО'!K12</f>
        <v>0</v>
      </c>
      <c r="AP11" s="75">
        <f t="shared" ref="AP11:AP27" si="31">AO11</f>
        <v>0</v>
      </c>
      <c r="AQ11" s="69"/>
      <c r="AR11" s="74"/>
      <c r="AS11" s="77">
        <f>'Федеральные  средства  по  МО'!P12</f>
        <v>0</v>
      </c>
      <c r="AT11" s="74">
        <f>'Проверочная  таблица'!CX17</f>
        <v>0</v>
      </c>
      <c r="AU11" s="69"/>
      <c r="AV11" s="76"/>
      <c r="AW11" s="78">
        <f>'Федеральные  средства  по  МО'!Q12</f>
        <v>0</v>
      </c>
      <c r="AX11" s="74">
        <f>'Проверочная  таблица'!DE17</f>
        <v>0</v>
      </c>
      <c r="AY11" s="75"/>
      <c r="AZ11" s="69"/>
      <c r="BA11" s="78">
        <f>'Федеральные  средства  по  МО'!R12</f>
        <v>0</v>
      </c>
      <c r="BB11" s="74">
        <f>'Проверочная  таблица'!CZ17</f>
        <v>0</v>
      </c>
      <c r="BC11" s="69"/>
      <c r="BD11" s="74">
        <f>'Проверочная  таблица'!DL17</f>
        <v>0</v>
      </c>
      <c r="BE11" s="77">
        <f>'Федеральные  средства  по  МО'!S12</f>
        <v>0</v>
      </c>
      <c r="BF11" s="74">
        <f>'Проверочная  таблица'!DG17</f>
        <v>0</v>
      </c>
      <c r="BG11" s="69"/>
      <c r="BH11" s="74">
        <f>'Проверочная  таблица'!DO17</f>
        <v>0</v>
      </c>
      <c r="BI11" s="77">
        <f>'Федеральные  средства  по  МО'!T12</f>
        <v>0</v>
      </c>
      <c r="BJ11" s="74">
        <f t="shared" ref="BJ11:BJ27" si="32">BI11</f>
        <v>0</v>
      </c>
      <c r="BK11" s="69"/>
      <c r="BL11" s="74"/>
      <c r="BM11" s="79">
        <f>'Федеральные  средства  по  МО'!U12</f>
        <v>0</v>
      </c>
      <c r="BN11" s="74">
        <f t="shared" ref="BN11:BN27" si="33">BM11</f>
        <v>0</v>
      </c>
      <c r="BO11" s="75"/>
      <c r="BP11" s="75"/>
      <c r="BQ11" s="73">
        <f>'Федеральные  средства  по  МО'!V12</f>
        <v>2991400</v>
      </c>
      <c r="BR11" s="75">
        <f t="shared" si="4"/>
        <v>2991400</v>
      </c>
      <c r="BS11" s="74"/>
      <c r="BT11" s="69"/>
      <c r="BU11" s="73">
        <f>'Федеральные  средства  по  МО'!W12</f>
        <v>0</v>
      </c>
      <c r="BV11" s="75">
        <f t="shared" si="5"/>
        <v>0</v>
      </c>
      <c r="BW11" s="74"/>
      <c r="BX11" s="69"/>
      <c r="BY11" s="73">
        <f>'Федеральные  средства  по  МО'!X12</f>
        <v>0</v>
      </c>
      <c r="BZ11" s="75">
        <f t="shared" si="6"/>
        <v>0</v>
      </c>
      <c r="CA11" s="74"/>
      <c r="CB11" s="69"/>
      <c r="CC11" s="73">
        <f>'Федеральные  средства  по  МО'!Y12</f>
        <v>0</v>
      </c>
      <c r="CD11" s="75">
        <f t="shared" si="7"/>
        <v>0</v>
      </c>
      <c r="CE11" s="74"/>
      <c r="CF11" s="69"/>
      <c r="CG11" s="73">
        <f>'Федеральные  средства  по  МО'!Z12</f>
        <v>0</v>
      </c>
      <c r="CH11" s="75">
        <f t="shared" si="8"/>
        <v>0</v>
      </c>
      <c r="CI11" s="69"/>
      <c r="CJ11" s="76"/>
      <c r="CK11" s="73">
        <f>'Федеральные  средства  по  МО'!AA12</f>
        <v>0</v>
      </c>
      <c r="CL11" s="75">
        <f t="shared" si="9"/>
        <v>0</v>
      </c>
      <c r="CM11" s="74"/>
      <c r="CN11" s="75"/>
      <c r="CO11" s="78">
        <f>'Федеральные  средства  по  МО'!AB12</f>
        <v>0</v>
      </c>
      <c r="CP11" s="74">
        <f t="shared" ref="CP11:CP27" si="34">CO11</f>
        <v>0</v>
      </c>
      <c r="CQ11" s="69"/>
      <c r="CR11" s="74"/>
      <c r="CS11" s="77">
        <f>'Федеральные  средства  по  МО'!AC12</f>
        <v>0</v>
      </c>
      <c r="CT11" s="74">
        <f t="shared" ref="CT11:CT27" si="35">CS11</f>
        <v>0</v>
      </c>
      <c r="CU11" s="69"/>
      <c r="CV11" s="74"/>
      <c r="CW11" s="78">
        <f>'Федеральные  средства  по  МО'!AD12</f>
        <v>0</v>
      </c>
      <c r="CX11" s="76">
        <f>'Проверочная  таблица'!FD17</f>
        <v>0</v>
      </c>
      <c r="CY11" s="74">
        <f t="shared" ref="CY11:CY27" si="36">CW11-CX11</f>
        <v>0</v>
      </c>
      <c r="CZ11" s="75"/>
      <c r="DA11" s="77">
        <f>'Федеральные  средства  по  МО'!AE12</f>
        <v>0</v>
      </c>
      <c r="DB11" s="76">
        <f>'Проверочная  таблица'!FG17</f>
        <v>0</v>
      </c>
      <c r="DC11" s="74">
        <f t="shared" ref="DC11:DC27" si="37">DA11-DB11</f>
        <v>0</v>
      </c>
      <c r="DD11" s="69"/>
      <c r="DE11" s="73">
        <f>'Федеральные  средства  по  МО'!AF12</f>
        <v>0</v>
      </c>
      <c r="DF11" s="75">
        <f t="shared" ref="DF11:DF27" si="38">DE11</f>
        <v>0</v>
      </c>
      <c r="DG11" s="69"/>
      <c r="DH11" s="76"/>
      <c r="DI11" s="73">
        <f>'Федеральные  средства  по  МО'!AG12</f>
        <v>0</v>
      </c>
      <c r="DJ11" s="75">
        <f t="shared" ref="DJ11:DJ27" si="39">DI11</f>
        <v>0</v>
      </c>
      <c r="DK11" s="69"/>
      <c r="DL11" s="76"/>
      <c r="DM11" s="73">
        <f>'Федеральные  средства  по  МО'!AH12</f>
        <v>0</v>
      </c>
      <c r="DN11" s="75">
        <f t="shared" ref="DN11:DN27" si="40">DM11</f>
        <v>0</v>
      </c>
      <c r="DO11" s="69"/>
      <c r="DP11" s="76"/>
      <c r="DQ11" s="73">
        <f>'Федеральные  средства  по  МО'!AI12</f>
        <v>0</v>
      </c>
      <c r="DR11" s="75">
        <f t="shared" ref="DR11:DR27" si="41">DQ11</f>
        <v>0</v>
      </c>
      <c r="DS11" s="69"/>
      <c r="DT11" s="74"/>
      <c r="DU11" s="78">
        <f>'Федеральные  средства  по  МО'!AJ12</f>
        <v>0</v>
      </c>
      <c r="DV11" s="74">
        <f t="shared" ref="DV11:DV27" si="42">DU11</f>
        <v>0</v>
      </c>
      <c r="DW11" s="69"/>
      <c r="DX11" s="74"/>
      <c r="DY11" s="77">
        <f>'Федеральные  средства  по  МО'!AK12</f>
        <v>0</v>
      </c>
      <c r="DZ11" s="74">
        <f t="shared" ref="DZ11:DZ27" si="43">DY11</f>
        <v>0</v>
      </c>
      <c r="EA11" s="69"/>
      <c r="EB11" s="76"/>
      <c r="EC11" s="73">
        <f>'Федеральные  средства  по  МО'!AL12</f>
        <v>0</v>
      </c>
      <c r="ED11" s="69">
        <f t="shared" si="10"/>
        <v>0</v>
      </c>
      <c r="EE11" s="74"/>
      <c r="EF11" s="69"/>
      <c r="EG11" s="73">
        <f>'Федеральные  средства  по  МО'!AM12</f>
        <v>0</v>
      </c>
      <c r="EH11" s="69">
        <f t="shared" si="11"/>
        <v>0</v>
      </c>
      <c r="EI11" s="74"/>
      <c r="EJ11" s="69"/>
      <c r="EK11" s="78">
        <f>'Федеральные  средства  по  МО'!AN12</f>
        <v>92125100</v>
      </c>
      <c r="EL11" s="74"/>
      <c r="EM11" s="69"/>
      <c r="EN11" s="74">
        <f t="shared" ref="EN11:EN27" si="44">EK11</f>
        <v>92125100</v>
      </c>
      <c r="EO11" s="77">
        <f>'Федеральные  средства  по  МО'!AO12</f>
        <v>74411434.299999997</v>
      </c>
      <c r="EP11" s="74"/>
      <c r="EQ11" s="69"/>
      <c r="ER11" s="76">
        <f t="shared" ref="ER11:ER27" si="45">EO11</f>
        <v>74411434.299999997</v>
      </c>
      <c r="ES11" s="1055">
        <f>'Федеральные  средства  по  МО'!AP12</f>
        <v>0</v>
      </c>
      <c r="ET11" s="74">
        <f>'Проверочная  таблица'!IR17</f>
        <v>0</v>
      </c>
      <c r="EU11" s="69">
        <f>'Проверочная  таблица'!JB17</f>
        <v>0</v>
      </c>
      <c r="EV11" s="74">
        <f>'Проверочная  таблица'!JD17</f>
        <v>0</v>
      </c>
      <c r="EW11" s="1057">
        <f>'Федеральные  средства  по  МО'!AQ12</f>
        <v>0</v>
      </c>
      <c r="EX11" s="74">
        <f>'Проверочная  таблица'!IU17</f>
        <v>0</v>
      </c>
      <c r="EY11" s="69">
        <f>'Проверочная  таблица'!JC17</f>
        <v>0</v>
      </c>
      <c r="EZ11" s="74">
        <f>'Проверочная  таблица'!JE17</f>
        <v>0</v>
      </c>
      <c r="FA11" s="79">
        <f>'Федеральные  средства  по  МО'!AR12</f>
        <v>0</v>
      </c>
      <c r="FB11" s="75"/>
      <c r="FC11" s="69"/>
      <c r="FD11" s="76"/>
      <c r="FE11" s="73">
        <f>'Федеральные  средства  по  МО'!AS12</f>
        <v>0</v>
      </c>
      <c r="FF11" s="75"/>
      <c r="FG11" s="69"/>
      <c r="FH11" s="74"/>
      <c r="FI11" s="79">
        <f>'Федеральные  средства  по  МО'!AT12</f>
        <v>0</v>
      </c>
      <c r="FJ11" s="75"/>
      <c r="FK11" s="69"/>
      <c r="FL11" s="76"/>
      <c r="FM11" s="73">
        <f>'Федеральные  средства  по  МО'!AU12</f>
        <v>0</v>
      </c>
      <c r="FN11" s="69"/>
      <c r="FO11" s="74"/>
      <c r="FP11" s="69"/>
      <c r="FQ11" s="78">
        <f>'Федеральные  средства  по  МО'!AV12</f>
        <v>0</v>
      </c>
      <c r="FR11" s="76">
        <f>'Проверочная  таблица'!JT17</f>
        <v>0</v>
      </c>
      <c r="FS11" s="74">
        <f>'Проверочная  таблица'!KF17</f>
        <v>-179042.41</v>
      </c>
      <c r="FT11" s="74">
        <f>'Проверочная  таблица'!KL17</f>
        <v>179042.41</v>
      </c>
      <c r="FU11" s="77">
        <f>'Федеральные  средства  по  МО'!AW12</f>
        <v>0</v>
      </c>
      <c r="FV11" s="74">
        <f>'Проверочная  таблица'!JW17</f>
        <v>0</v>
      </c>
      <c r="FW11" s="69">
        <f>'Проверочная  таблица'!KI17</f>
        <v>0</v>
      </c>
      <c r="FX11" s="74">
        <f>'Проверочная  таблица'!KO17</f>
        <v>0</v>
      </c>
      <c r="FY11" s="78">
        <f>'Федеральные  средства  по  МО'!AX12</f>
        <v>462418.86</v>
      </c>
      <c r="FZ11" s="74"/>
      <c r="GA11" s="69">
        <f t="shared" ref="GA11:GA27" si="46">FY11</f>
        <v>462418.86</v>
      </c>
      <c r="GB11" s="74"/>
      <c r="GC11" s="73">
        <f>'Федеральные  средства  по  МО'!AY12</f>
        <v>0</v>
      </c>
      <c r="GD11" s="69"/>
      <c r="GE11" s="74">
        <f t="shared" ref="GE11:GE27" si="47">GC11</f>
        <v>0</v>
      </c>
      <c r="GF11" s="69"/>
      <c r="GG11" s="73">
        <f>'Федеральные  средства  по  МО'!AZ12</f>
        <v>1645916.6</v>
      </c>
      <c r="GH11" s="75">
        <f t="shared" ref="GH11:GH27" si="48">GG11</f>
        <v>1645916.6</v>
      </c>
      <c r="GI11" s="69"/>
      <c r="GJ11" s="76"/>
      <c r="GK11" s="73">
        <f>'Федеральные  средства  по  МО'!BA12</f>
        <v>0</v>
      </c>
      <c r="GL11" s="75">
        <f t="shared" ref="GL11:GL27" si="49">GK11</f>
        <v>0</v>
      </c>
      <c r="GM11" s="69"/>
      <c r="GN11" s="74"/>
      <c r="GO11" s="79">
        <f>'Федеральные  средства  по  МО'!BB12</f>
        <v>0</v>
      </c>
      <c r="GP11" s="69"/>
      <c r="GQ11" s="76">
        <f>'Проверочная  таблица'!MO17</f>
        <v>0</v>
      </c>
      <c r="GR11" s="74">
        <f>'Проверочная  таблица'!MW17</f>
        <v>0</v>
      </c>
      <c r="GS11" s="77">
        <f>'Федеральные  средства  по  МО'!BC12</f>
        <v>0</v>
      </c>
      <c r="GT11" s="76"/>
      <c r="GU11" s="74">
        <f>'Проверочная  таблица'!MS17</f>
        <v>0</v>
      </c>
      <c r="GV11" s="75">
        <f>'Проверочная  таблица'!NA17</f>
        <v>0</v>
      </c>
      <c r="GW11" s="77">
        <f>'Федеральные  средства  по  МО'!BD12</f>
        <v>0</v>
      </c>
      <c r="GX11" s="74">
        <f t="shared" ref="GX11:GX27" si="50">GW11</f>
        <v>0</v>
      </c>
      <c r="GY11" s="69"/>
      <c r="GZ11" s="76"/>
      <c r="HA11" s="73">
        <f>'Федеральные  средства  по  МО'!BE12</f>
        <v>0</v>
      </c>
      <c r="HB11" s="74">
        <f t="shared" ref="HB11:HB27" si="51">HA11</f>
        <v>0</v>
      </c>
      <c r="HC11" s="75"/>
      <c r="HD11" s="69"/>
      <c r="HE11" s="73">
        <f>'Федеральные  средства  по  МО'!BF12</f>
        <v>0</v>
      </c>
      <c r="HF11" s="76">
        <f t="shared" ref="HF11:HF27" si="52">HE11</f>
        <v>0</v>
      </c>
      <c r="HG11" s="74"/>
      <c r="HH11" s="75"/>
      <c r="HI11" s="79">
        <f>'Федеральные  средства  по  МО'!BG12</f>
        <v>0</v>
      </c>
      <c r="HJ11" s="76">
        <f t="shared" si="12"/>
        <v>0</v>
      </c>
      <c r="HK11" s="74"/>
      <c r="HL11" s="75"/>
      <c r="HM11" s="78">
        <f>'Федеральные  средства  по  МО'!BH12</f>
        <v>92304142.409999996</v>
      </c>
      <c r="HN11" s="76">
        <f t="shared" ref="HN11:HN27" si="53">HM11-HP11</f>
        <v>179042.40999999642</v>
      </c>
      <c r="HO11" s="74"/>
      <c r="HP11" s="75">
        <f>'Проверочная  таблица'!OF17</f>
        <v>92125100</v>
      </c>
      <c r="HQ11" s="79">
        <f>'Федеральные  средства  по  МО'!BI12</f>
        <v>179042.4</v>
      </c>
      <c r="HR11" s="76">
        <f t="shared" ref="HR11:HR27" si="54">HQ11-HT11</f>
        <v>179042.4</v>
      </c>
      <c r="HS11" s="76"/>
      <c r="HT11" s="74">
        <f>'Проверочная  таблица'!OI17</f>
        <v>0</v>
      </c>
      <c r="HU11" s="79">
        <f>'Федеральные  средства  по  МО'!BJ12</f>
        <v>0</v>
      </c>
      <c r="HV11" s="75">
        <f t="shared" ref="HV11:HV27" si="55">HU11</f>
        <v>0</v>
      </c>
      <c r="HW11" s="69"/>
      <c r="HX11" s="76"/>
      <c r="HY11" s="73">
        <f>'Федеральные  средства  по  МО'!BK12</f>
        <v>0</v>
      </c>
      <c r="HZ11" s="75">
        <f t="shared" si="13"/>
        <v>0</v>
      </c>
      <c r="IA11" s="69"/>
      <c r="IB11" s="74"/>
      <c r="IC11" s="78">
        <f>'Федеральные  средства  по  МО'!BL12</f>
        <v>26000000</v>
      </c>
      <c r="ID11" s="76"/>
      <c r="IE11" s="74"/>
      <c r="IF11" s="75">
        <f>'Проверочная  таблица'!PR17</f>
        <v>26000000</v>
      </c>
      <c r="IG11" s="77">
        <f>'Федеральные  средства  по  МО'!BM12</f>
        <v>22043510.329999998</v>
      </c>
      <c r="IH11" s="76"/>
      <c r="II11" s="74"/>
      <c r="IJ11" s="75">
        <f>'Проверочная  таблица'!PV17</f>
        <v>22043510.329999998</v>
      </c>
      <c r="IK11" s="78">
        <f>'Федеральные  средства  по  МО'!BN12</f>
        <v>1290526.6400000001</v>
      </c>
      <c r="IL11" s="76">
        <f>'Проверочная  таблица'!PZ17</f>
        <v>0</v>
      </c>
      <c r="IM11" s="74">
        <f t="shared" ref="IM11:IM27" si="56">IK11-IL11</f>
        <v>1290526.6400000001</v>
      </c>
      <c r="IN11" s="75"/>
      <c r="IO11" s="77">
        <f>'Федеральные  средства  по  МО'!BO12</f>
        <v>0</v>
      </c>
      <c r="IP11" s="76">
        <f>'Проверочная  таблица'!QE17</f>
        <v>0</v>
      </c>
      <c r="IQ11" s="74">
        <f t="shared" ref="IQ11:IQ27" si="57">IO11-IP11</f>
        <v>0</v>
      </c>
      <c r="IR11" s="75"/>
      <c r="IS11" s="78">
        <f>'Федеральные  средства  по  МО'!BR12</f>
        <v>0</v>
      </c>
      <c r="IT11" s="74">
        <f t="shared" ref="IT11:IT27" si="58">IS11</f>
        <v>0</v>
      </c>
      <c r="IU11" s="69"/>
      <c r="IV11" s="74"/>
      <c r="IW11" s="79">
        <f>'Федеральные  средства  по  МО'!BS12</f>
        <v>0</v>
      </c>
      <c r="IX11" s="75">
        <f t="shared" ref="IX11:IX27" si="59">IW11</f>
        <v>0</v>
      </c>
      <c r="IY11" s="75"/>
      <c r="IZ11" s="74"/>
      <c r="JA11" s="78">
        <f>'Федеральные  средства  по  МО'!BT12</f>
        <v>0</v>
      </c>
      <c r="JB11" s="74">
        <f>'Проверочная  таблица'!RN17</f>
        <v>0</v>
      </c>
      <c r="JC11" s="69">
        <f>'Проверочная  таблица'!RT17</f>
        <v>0</v>
      </c>
      <c r="JD11" s="74">
        <f>'Проверочная  таблица'!RZ17</f>
        <v>0</v>
      </c>
      <c r="JE11" s="77">
        <f>'Федеральные  средства  по  МО'!BU12</f>
        <v>0</v>
      </c>
      <c r="JF11" s="74">
        <f>'Проверочная  таблица'!RK17</f>
        <v>0</v>
      </c>
      <c r="JG11" s="69">
        <f>'Проверочная  таблица'!RW17</f>
        <v>0</v>
      </c>
      <c r="JH11" s="76">
        <f>'Проверочная  таблица'!SC17</f>
        <v>0</v>
      </c>
      <c r="JI11" s="73">
        <f>'Федеральные  средства  по  МО'!BV12</f>
        <v>0</v>
      </c>
      <c r="JJ11" s="74">
        <f t="shared" ref="JJ11:JJ27" si="60">JI11</f>
        <v>0</v>
      </c>
      <c r="JK11" s="69"/>
      <c r="JL11" s="74"/>
      <c r="JM11" s="79">
        <f>'Федеральные  средства  по  МО'!BW12</f>
        <v>0</v>
      </c>
      <c r="JN11" s="75">
        <f t="shared" ref="JN11:JN27" si="61">JM11</f>
        <v>0</v>
      </c>
      <c r="JO11" s="69"/>
      <c r="JP11" s="76"/>
      <c r="JQ11" s="78">
        <f>'Федеральные  средства  по  МО'!BX12</f>
        <v>0</v>
      </c>
      <c r="JR11" s="74">
        <f t="shared" ref="JR11:JR27" si="62">JQ11</f>
        <v>0</v>
      </c>
      <c r="JS11" s="69"/>
      <c r="JT11" s="74"/>
      <c r="JU11" s="79">
        <f>'Федеральные  средства  по  МО'!BY12</f>
        <v>0</v>
      </c>
      <c r="JV11" s="74">
        <f t="shared" ref="JV11:JV27" si="63">JU11</f>
        <v>0</v>
      </c>
      <c r="JW11" s="69"/>
      <c r="JX11" s="74"/>
      <c r="JY11" s="78">
        <f>'Федеральные  средства  по  МО'!BZ12</f>
        <v>0</v>
      </c>
      <c r="JZ11" s="74">
        <f t="shared" ref="JZ11:JZ27" si="64">JY11</f>
        <v>0</v>
      </c>
      <c r="KA11" s="69"/>
      <c r="KB11" s="74"/>
      <c r="KC11" s="77">
        <f>'Федеральные  средства  по  МО'!CA12</f>
        <v>0</v>
      </c>
      <c r="KD11" s="74">
        <f t="shared" ref="KD11:KD27" si="65">KC11</f>
        <v>0</v>
      </c>
      <c r="KE11" s="69"/>
      <c r="KF11" s="74"/>
      <c r="KG11" s="77">
        <f>'Федеральные  средства  по  МО'!CB12</f>
        <v>0</v>
      </c>
      <c r="KH11" s="76">
        <f>'Проверочная  таблица'!SZ17</f>
        <v>0</v>
      </c>
      <c r="KI11" s="74">
        <f>'Проверочная  таблица'!UB17</f>
        <v>0</v>
      </c>
      <c r="KJ11" s="69">
        <f>'Проверочная  таблица'!UP17</f>
        <v>0</v>
      </c>
      <c r="KK11" s="1043">
        <f>'Федеральные  средства  по  МО'!CC12</f>
        <v>0</v>
      </c>
      <c r="KL11" s="69">
        <f>'Проверочная  таблица'!TG17</f>
        <v>0</v>
      </c>
      <c r="KM11" s="74">
        <f>'Проверочная  таблица'!UI17</f>
        <v>0</v>
      </c>
      <c r="KN11" s="75">
        <f>'Проверочная  таблица'!UW17</f>
        <v>0</v>
      </c>
      <c r="KO11" s="77">
        <f>'Федеральные  средства  по  МО'!CD12</f>
        <v>0</v>
      </c>
      <c r="KP11" s="74">
        <f>'Проверочная  таблица'!TB17</f>
        <v>0</v>
      </c>
      <c r="KQ11" s="69">
        <f t="shared" ref="KQ11:KQ27" si="66">KO11-KP11</f>
        <v>0</v>
      </c>
      <c r="KR11" s="74"/>
      <c r="KS11" s="77">
        <f>'Федеральные  средства  по  МО'!CE12</f>
        <v>0</v>
      </c>
      <c r="KT11" s="74">
        <f>'Проверочная  таблица'!TI17</f>
        <v>0</v>
      </c>
      <c r="KU11" s="69">
        <f t="shared" ref="KU11:KU27" si="67">KS11-KT11</f>
        <v>0</v>
      </c>
      <c r="KV11" s="76"/>
      <c r="KW11" s="78">
        <f>'Федеральные  средства  по  МО'!CF12</f>
        <v>123288200</v>
      </c>
      <c r="KX11" s="76">
        <f>'Проверочная  таблица'!TD17</f>
        <v>123288200</v>
      </c>
      <c r="KY11" s="74">
        <f>'Проверочная  таблица'!UF17</f>
        <v>0</v>
      </c>
      <c r="KZ11" s="75"/>
      <c r="LA11" s="77">
        <f>'Федеральные  средства  по  МО'!CG12</f>
        <v>0</v>
      </c>
      <c r="LB11" s="76">
        <f>'Проверочная  таблица'!TK17</f>
        <v>0</v>
      </c>
      <c r="LC11" s="74">
        <f>'Проверочная  таблица'!TY17</f>
        <v>0</v>
      </c>
      <c r="LD11" s="74"/>
    </row>
    <row r="12" spans="1:316" ht="25.5" customHeight="1" x14ac:dyDescent="0.25">
      <c r="A12" s="54" t="s">
        <v>320</v>
      </c>
      <c r="B12" s="71">
        <f t="shared" si="14"/>
        <v>229022714.09</v>
      </c>
      <c r="C12" s="72">
        <f t="shared" si="15"/>
        <v>47343042.599999994</v>
      </c>
      <c r="D12" s="72">
        <f t="shared" si="16"/>
        <v>1861117.62</v>
      </c>
      <c r="E12" s="72">
        <f t="shared" si="17"/>
        <v>179818553.87</v>
      </c>
      <c r="F12" s="71">
        <f t="shared" si="18"/>
        <v>76762978.060000002</v>
      </c>
      <c r="G12" s="72">
        <f t="shared" si="19"/>
        <v>0</v>
      </c>
      <c r="H12" s="72">
        <f t="shared" si="1"/>
        <v>0</v>
      </c>
      <c r="I12" s="72">
        <f t="shared" si="2"/>
        <v>76762978.060000002</v>
      </c>
      <c r="J12" s="54"/>
      <c r="K12" s="55">
        <f>M12-'Федеральные  средства  по  МО'!N13-'Федеральные  средства  по  МО'!D13</f>
        <v>0</v>
      </c>
      <c r="L12" s="55">
        <f>Q12-'Федеральные  средства  по  МО'!O13-'Федеральные  средства  по  МО'!E13</f>
        <v>0</v>
      </c>
      <c r="M12" s="1083">
        <f t="shared" si="20"/>
        <v>302383537.16999996</v>
      </c>
      <c r="N12" s="72">
        <f t="shared" si="21"/>
        <v>109567820.59999999</v>
      </c>
      <c r="O12" s="72">
        <f t="shared" si="22"/>
        <v>1861117.62</v>
      </c>
      <c r="P12" s="72">
        <f t="shared" si="23"/>
        <v>179818553.87</v>
      </c>
      <c r="Q12" s="1083">
        <f t="shared" si="24"/>
        <v>76762978.060000002</v>
      </c>
      <c r="R12" s="72">
        <f t="shared" si="25"/>
        <v>0</v>
      </c>
      <c r="S12" s="72">
        <f t="shared" si="26"/>
        <v>0</v>
      </c>
      <c r="T12" s="72">
        <f t="shared" si="27"/>
        <v>76762978.060000002</v>
      </c>
      <c r="U12" s="73">
        <f>'Федеральные  средства  по  МО'!F13</f>
        <v>0</v>
      </c>
      <c r="V12" s="69">
        <f>'Проверочная  таблица'!BT18</f>
        <v>0</v>
      </c>
      <c r="W12" s="74">
        <f>'Проверочная  таблица'!BX18</f>
        <v>0</v>
      </c>
      <c r="X12" s="69">
        <f>'Проверочная  таблица'!BZ18</f>
        <v>0</v>
      </c>
      <c r="Y12" s="73">
        <f>'Федеральные  средства  по  МО'!G13</f>
        <v>0</v>
      </c>
      <c r="Z12" s="69">
        <f>'Проверочная  таблица'!BU18</f>
        <v>0</v>
      </c>
      <c r="AA12" s="74">
        <f>'Проверочная  таблица'!BY18</f>
        <v>0</v>
      </c>
      <c r="AB12" s="69">
        <f>'Проверочная  таблица'!CA18</f>
        <v>0</v>
      </c>
      <c r="AC12" s="1043">
        <f>'Федеральные  средства  по  МО'!H13</f>
        <v>36031778</v>
      </c>
      <c r="AD12" s="75">
        <f t="shared" si="28"/>
        <v>36031778</v>
      </c>
      <c r="AE12" s="69"/>
      <c r="AF12" s="76"/>
      <c r="AG12" s="1043">
        <f>'Федеральные  средства  по  МО'!I13</f>
        <v>0</v>
      </c>
      <c r="AH12" s="75">
        <f t="shared" si="29"/>
        <v>0</v>
      </c>
      <c r="AI12" s="69"/>
      <c r="AJ12" s="74"/>
      <c r="AK12" s="73">
        <f>'Федеральные  средства  по  МО'!J13</f>
        <v>26193000</v>
      </c>
      <c r="AL12" s="75">
        <f t="shared" si="30"/>
        <v>26193000</v>
      </c>
      <c r="AM12" s="69"/>
      <c r="AN12" s="76"/>
      <c r="AO12" s="73">
        <f>'Федеральные  средства  по  МО'!K13</f>
        <v>0</v>
      </c>
      <c r="AP12" s="75">
        <f t="shared" si="31"/>
        <v>0</v>
      </c>
      <c r="AQ12" s="69"/>
      <c r="AR12" s="74"/>
      <c r="AS12" s="77">
        <f>'Федеральные  средства  по  МО'!P13</f>
        <v>0</v>
      </c>
      <c r="AT12" s="74">
        <f>'Проверочная  таблица'!CX18</f>
        <v>0</v>
      </c>
      <c r="AU12" s="80"/>
      <c r="AV12" s="81"/>
      <c r="AW12" s="78">
        <f>'Федеральные  средства  по  МО'!Q13</f>
        <v>0</v>
      </c>
      <c r="AX12" s="74">
        <f>'Проверочная  таблица'!DE18</f>
        <v>0</v>
      </c>
      <c r="AY12" s="82"/>
      <c r="AZ12" s="80"/>
      <c r="BA12" s="78">
        <f>'Федеральные  средства  по  МО'!R13</f>
        <v>0</v>
      </c>
      <c r="BB12" s="74">
        <f>'Проверочная  таблица'!CZ18</f>
        <v>0</v>
      </c>
      <c r="BC12" s="69"/>
      <c r="BD12" s="74">
        <f>'Проверочная  таблица'!DL18</f>
        <v>0</v>
      </c>
      <c r="BE12" s="77">
        <f>'Федеральные  средства  по  МО'!S13</f>
        <v>0</v>
      </c>
      <c r="BF12" s="74">
        <f>'Проверочная  таблица'!DG18</f>
        <v>0</v>
      </c>
      <c r="BG12" s="80"/>
      <c r="BH12" s="74">
        <f>'Проверочная  таблица'!DO18</f>
        <v>0</v>
      </c>
      <c r="BI12" s="77">
        <f>'Федеральные  средства  по  МО'!T13</f>
        <v>0</v>
      </c>
      <c r="BJ12" s="74">
        <f t="shared" si="32"/>
        <v>0</v>
      </c>
      <c r="BK12" s="69"/>
      <c r="BL12" s="74"/>
      <c r="BM12" s="79">
        <f>'Федеральные  средства  по  МО'!U13</f>
        <v>0</v>
      </c>
      <c r="BN12" s="74">
        <f t="shared" si="33"/>
        <v>0</v>
      </c>
      <c r="BO12" s="82"/>
      <c r="BP12" s="82"/>
      <c r="BQ12" s="73">
        <f>'Федеральные  средства  по  МО'!V13</f>
        <v>0</v>
      </c>
      <c r="BR12" s="82">
        <f t="shared" si="4"/>
        <v>0</v>
      </c>
      <c r="BS12" s="83"/>
      <c r="BT12" s="80"/>
      <c r="BU12" s="73">
        <f>'Федеральные  средства  по  МО'!W13</f>
        <v>0</v>
      </c>
      <c r="BV12" s="82">
        <f t="shared" si="5"/>
        <v>0</v>
      </c>
      <c r="BW12" s="83"/>
      <c r="BX12" s="80"/>
      <c r="BY12" s="73">
        <f>'Федеральные  средства  по  МО'!X13</f>
        <v>0</v>
      </c>
      <c r="BZ12" s="82">
        <f t="shared" si="6"/>
        <v>0</v>
      </c>
      <c r="CA12" s="83"/>
      <c r="CB12" s="80"/>
      <c r="CC12" s="73">
        <f>'Федеральные  средства  по  МО'!Y13</f>
        <v>0</v>
      </c>
      <c r="CD12" s="82">
        <f t="shared" si="7"/>
        <v>0</v>
      </c>
      <c r="CE12" s="83"/>
      <c r="CF12" s="80"/>
      <c r="CG12" s="73">
        <f>'Федеральные  средства  по  МО'!Z13</f>
        <v>0</v>
      </c>
      <c r="CH12" s="82">
        <f t="shared" si="8"/>
        <v>0</v>
      </c>
      <c r="CI12" s="80"/>
      <c r="CJ12" s="81"/>
      <c r="CK12" s="73">
        <f>'Федеральные  средства  по  МО'!AA13</f>
        <v>0</v>
      </c>
      <c r="CL12" s="82">
        <f t="shared" si="9"/>
        <v>0</v>
      </c>
      <c r="CM12" s="83"/>
      <c r="CN12" s="82"/>
      <c r="CO12" s="78">
        <f>'Федеральные  средства  по  МО'!AB13</f>
        <v>0</v>
      </c>
      <c r="CP12" s="74">
        <f t="shared" si="34"/>
        <v>0</v>
      </c>
      <c r="CQ12" s="69"/>
      <c r="CR12" s="74"/>
      <c r="CS12" s="77">
        <f>'Федеральные  средства  по  МО'!AC13</f>
        <v>0</v>
      </c>
      <c r="CT12" s="74">
        <f t="shared" si="35"/>
        <v>0</v>
      </c>
      <c r="CU12" s="69"/>
      <c r="CV12" s="74"/>
      <c r="CW12" s="78">
        <f>'Федеральные  средства  по  МО'!AD13</f>
        <v>0</v>
      </c>
      <c r="CX12" s="76">
        <f>'Проверочная  таблица'!FD18</f>
        <v>0</v>
      </c>
      <c r="CY12" s="74">
        <f t="shared" si="36"/>
        <v>0</v>
      </c>
      <c r="CZ12" s="75"/>
      <c r="DA12" s="77">
        <f>'Федеральные  средства  по  МО'!AE13</f>
        <v>0</v>
      </c>
      <c r="DB12" s="76">
        <f>'Проверочная  таблица'!FG18</f>
        <v>0</v>
      </c>
      <c r="DC12" s="74">
        <f t="shared" si="37"/>
        <v>0</v>
      </c>
      <c r="DD12" s="69"/>
      <c r="DE12" s="73">
        <f>'Федеральные  средства  по  МО'!AF13</f>
        <v>0</v>
      </c>
      <c r="DF12" s="75">
        <f t="shared" si="38"/>
        <v>0</v>
      </c>
      <c r="DG12" s="69"/>
      <c r="DH12" s="76"/>
      <c r="DI12" s="73">
        <f>'Федеральные  средства  по  МО'!AG13</f>
        <v>0</v>
      </c>
      <c r="DJ12" s="75">
        <f t="shared" si="39"/>
        <v>0</v>
      </c>
      <c r="DK12" s="69"/>
      <c r="DL12" s="76"/>
      <c r="DM12" s="73">
        <f>'Федеральные  средства  по  МО'!AH13</f>
        <v>0</v>
      </c>
      <c r="DN12" s="75">
        <f t="shared" si="40"/>
        <v>0</v>
      </c>
      <c r="DO12" s="69"/>
      <c r="DP12" s="76"/>
      <c r="DQ12" s="73">
        <f>'Федеральные  средства  по  МО'!AI13</f>
        <v>0</v>
      </c>
      <c r="DR12" s="75">
        <f t="shared" si="41"/>
        <v>0</v>
      </c>
      <c r="DS12" s="69"/>
      <c r="DT12" s="74"/>
      <c r="DU12" s="78">
        <f>'Федеральные  средства  по  МО'!AJ13</f>
        <v>47088003.100000001</v>
      </c>
      <c r="DV12" s="74">
        <f t="shared" si="42"/>
        <v>47088003.100000001</v>
      </c>
      <c r="DW12" s="69"/>
      <c r="DX12" s="74"/>
      <c r="DY12" s="77">
        <f>'Федеральные  средства  по  МО'!AK13</f>
        <v>0</v>
      </c>
      <c r="DZ12" s="74">
        <f t="shared" si="43"/>
        <v>0</v>
      </c>
      <c r="EA12" s="69"/>
      <c r="EB12" s="76"/>
      <c r="EC12" s="73">
        <f>'Федеральные  средства  по  МО'!AL13</f>
        <v>0</v>
      </c>
      <c r="ED12" s="69">
        <f t="shared" si="10"/>
        <v>0</v>
      </c>
      <c r="EE12" s="74"/>
      <c r="EF12" s="69"/>
      <c r="EG12" s="73">
        <f>'Федеральные  средства  по  МО'!AM13</f>
        <v>0</v>
      </c>
      <c r="EH12" s="69">
        <f t="shared" si="11"/>
        <v>0</v>
      </c>
      <c r="EI12" s="74"/>
      <c r="EJ12" s="69"/>
      <c r="EK12" s="78">
        <f>'Федеральные  средства  по  МО'!AN13</f>
        <v>72384000</v>
      </c>
      <c r="EL12" s="74"/>
      <c r="EM12" s="69"/>
      <c r="EN12" s="74">
        <f t="shared" si="44"/>
        <v>72384000</v>
      </c>
      <c r="EO12" s="77">
        <f>'Федеральные  средства  по  МО'!AO13</f>
        <v>69810654.439999998</v>
      </c>
      <c r="EP12" s="74"/>
      <c r="EQ12" s="69"/>
      <c r="ER12" s="76">
        <f t="shared" si="45"/>
        <v>69810654.439999998</v>
      </c>
      <c r="ES12" s="1055">
        <f>'Федеральные  средства  по  МО'!AP13</f>
        <v>0</v>
      </c>
      <c r="ET12" s="74">
        <f>'Проверочная  таблица'!IR18</f>
        <v>0</v>
      </c>
      <c r="EU12" s="69">
        <f>'Проверочная  таблица'!JB18</f>
        <v>0</v>
      </c>
      <c r="EV12" s="74">
        <f>'Проверочная  таблица'!JD18</f>
        <v>0</v>
      </c>
      <c r="EW12" s="1057">
        <f>'Федеральные  средства  по  МО'!AQ13</f>
        <v>0</v>
      </c>
      <c r="EX12" s="74">
        <f>'Проверочная  таблица'!IU18</f>
        <v>0</v>
      </c>
      <c r="EY12" s="69">
        <f>'Проверочная  таблица'!JC18</f>
        <v>0</v>
      </c>
      <c r="EZ12" s="74">
        <f>'Проверочная  таблица'!JE18</f>
        <v>0</v>
      </c>
      <c r="FA12" s="79">
        <f>'Федеральные  средства  по  МО'!AR13</f>
        <v>0</v>
      </c>
      <c r="FB12" s="75"/>
      <c r="FC12" s="69"/>
      <c r="FD12" s="76"/>
      <c r="FE12" s="73">
        <f>'Федеральные  средства  по  МО'!AS13</f>
        <v>0</v>
      </c>
      <c r="FF12" s="75"/>
      <c r="FG12" s="69"/>
      <c r="FH12" s="74"/>
      <c r="FI12" s="79">
        <f>'Федеральные  средства  по  МО'!AT13</f>
        <v>0</v>
      </c>
      <c r="FJ12" s="82"/>
      <c r="FK12" s="80"/>
      <c r="FL12" s="81"/>
      <c r="FM12" s="73">
        <f>'Федеральные  средства  по  МО'!AU13</f>
        <v>0</v>
      </c>
      <c r="FN12" s="80"/>
      <c r="FO12" s="83"/>
      <c r="FP12" s="80"/>
      <c r="FQ12" s="78">
        <f>'Федеральные  средства  по  МО'!AV13</f>
        <v>0</v>
      </c>
      <c r="FR12" s="76">
        <f>'Проверочная  таблица'!JT18</f>
        <v>0</v>
      </c>
      <c r="FS12" s="74">
        <f>'Проверочная  таблица'!KF18</f>
        <v>-216139.53</v>
      </c>
      <c r="FT12" s="74">
        <f>'Проверочная  таблица'!KL18</f>
        <v>216139.53</v>
      </c>
      <c r="FU12" s="77">
        <f>'Федеральные  средства  по  МО'!AW13</f>
        <v>0</v>
      </c>
      <c r="FV12" s="74">
        <f>'Проверочная  таблица'!JW18</f>
        <v>0</v>
      </c>
      <c r="FW12" s="69">
        <f>'Проверочная  таблица'!KI18</f>
        <v>0</v>
      </c>
      <c r="FX12" s="74">
        <f>'Проверочная  таблица'!KO18</f>
        <v>0</v>
      </c>
      <c r="FY12" s="78">
        <f>'Федеральные  средства  по  МО'!AX13</f>
        <v>461551.64</v>
      </c>
      <c r="FZ12" s="74"/>
      <c r="GA12" s="69">
        <f t="shared" si="46"/>
        <v>461551.64</v>
      </c>
      <c r="GB12" s="74"/>
      <c r="GC12" s="73">
        <f>'Федеральные  средства  по  МО'!AY13</f>
        <v>0</v>
      </c>
      <c r="GD12" s="69"/>
      <c r="GE12" s="74">
        <f t="shared" si="47"/>
        <v>0</v>
      </c>
      <c r="GF12" s="69"/>
      <c r="GG12" s="73">
        <f>'Федеральные  средства  по  МО'!AZ13</f>
        <v>38899.97</v>
      </c>
      <c r="GH12" s="75">
        <f t="shared" si="48"/>
        <v>38899.97</v>
      </c>
      <c r="GI12" s="69"/>
      <c r="GJ12" s="76"/>
      <c r="GK12" s="73">
        <f>'Федеральные  средства  по  МО'!BA13</f>
        <v>0</v>
      </c>
      <c r="GL12" s="75">
        <f t="shared" si="49"/>
        <v>0</v>
      </c>
      <c r="GM12" s="69"/>
      <c r="GN12" s="74"/>
      <c r="GO12" s="79">
        <f>'Федеральные  средства  по  МО'!BB13</f>
        <v>0</v>
      </c>
      <c r="GP12" s="80"/>
      <c r="GQ12" s="76">
        <f>'Проверочная  таблица'!MO18</f>
        <v>0</v>
      </c>
      <c r="GR12" s="74">
        <f>'Проверочная  таблица'!MW18</f>
        <v>0</v>
      </c>
      <c r="GS12" s="77">
        <f>'Федеральные  средства  по  МО'!BC13</f>
        <v>0</v>
      </c>
      <c r="GT12" s="76"/>
      <c r="GU12" s="74">
        <f>'Проверочная  таблица'!MS18</f>
        <v>0</v>
      </c>
      <c r="GV12" s="75">
        <f>'Проверочная  таблица'!NA18</f>
        <v>0</v>
      </c>
      <c r="GW12" s="77">
        <f>'Федеральные  средства  по  МО'!BD13</f>
        <v>0</v>
      </c>
      <c r="GX12" s="74">
        <f t="shared" si="50"/>
        <v>0</v>
      </c>
      <c r="GY12" s="69"/>
      <c r="GZ12" s="76"/>
      <c r="HA12" s="73">
        <f>'Федеральные  средства  по  МО'!BE13</f>
        <v>0</v>
      </c>
      <c r="HB12" s="74">
        <f t="shared" si="51"/>
        <v>0</v>
      </c>
      <c r="HC12" s="75"/>
      <c r="HD12" s="80"/>
      <c r="HE12" s="73">
        <f>'Федеральные  средства  по  МО'!BF13</f>
        <v>0</v>
      </c>
      <c r="HF12" s="76">
        <f t="shared" si="52"/>
        <v>0</v>
      </c>
      <c r="HG12" s="74"/>
      <c r="HH12" s="75"/>
      <c r="HI12" s="79">
        <f>'Федеральные  средства  по  МО'!BG13</f>
        <v>0</v>
      </c>
      <c r="HJ12" s="76">
        <f t="shared" si="12"/>
        <v>0</v>
      </c>
      <c r="HK12" s="74"/>
      <c r="HL12" s="75"/>
      <c r="HM12" s="78">
        <f>'Федеральные  средства  по  МО'!BH13</f>
        <v>72600139.530000001</v>
      </c>
      <c r="HN12" s="76">
        <f t="shared" si="53"/>
        <v>216139.53000000119</v>
      </c>
      <c r="HO12" s="74"/>
      <c r="HP12" s="75">
        <f>'Проверочная  таблица'!OF18</f>
        <v>72384000</v>
      </c>
      <c r="HQ12" s="79">
        <f>'Федеральные  средства  по  МО'!BI13</f>
        <v>0</v>
      </c>
      <c r="HR12" s="76">
        <f t="shared" si="54"/>
        <v>0</v>
      </c>
      <c r="HS12" s="81"/>
      <c r="HT12" s="74">
        <f>'Проверочная  таблица'!OI18</f>
        <v>0</v>
      </c>
      <c r="HU12" s="79">
        <f>'Федеральные  средства  по  МО'!BJ13</f>
        <v>0</v>
      </c>
      <c r="HV12" s="82">
        <f t="shared" si="55"/>
        <v>0</v>
      </c>
      <c r="HW12" s="80"/>
      <c r="HX12" s="81"/>
      <c r="HY12" s="73">
        <f>'Федеральные  средства  по  МО'!BK13</f>
        <v>0</v>
      </c>
      <c r="HZ12" s="82">
        <f t="shared" si="13"/>
        <v>0</v>
      </c>
      <c r="IA12" s="80"/>
      <c r="IB12" s="83"/>
      <c r="IC12" s="78">
        <f>'Федеральные  средства  по  МО'!BL13</f>
        <v>26736045.079999998</v>
      </c>
      <c r="ID12" s="76"/>
      <c r="IE12" s="74"/>
      <c r="IF12" s="75">
        <f>'Проверочная  таблица'!PR18</f>
        <v>15600000</v>
      </c>
      <c r="IG12" s="77">
        <f>'Федеральные  средства  по  МО'!BM13</f>
        <v>6016090.1699999999</v>
      </c>
      <c r="IH12" s="76"/>
      <c r="II12" s="74"/>
      <c r="IJ12" s="75">
        <f>'Проверочная  таблица'!PV18</f>
        <v>6016090.1699999999</v>
      </c>
      <c r="IK12" s="78">
        <f>'Федеральные  средства  по  МО'!BN13</f>
        <v>1615705.51</v>
      </c>
      <c r="IL12" s="76">
        <f>'Проверочная  таблица'!PZ18</f>
        <v>0</v>
      </c>
      <c r="IM12" s="74">
        <f t="shared" si="56"/>
        <v>1615705.51</v>
      </c>
      <c r="IN12" s="75"/>
      <c r="IO12" s="77">
        <f>'Федеральные  средства  по  МО'!BO13</f>
        <v>0</v>
      </c>
      <c r="IP12" s="76">
        <f>'Проверочная  таблица'!QE18</f>
        <v>0</v>
      </c>
      <c r="IQ12" s="74">
        <f t="shared" si="57"/>
        <v>0</v>
      </c>
      <c r="IR12" s="75"/>
      <c r="IS12" s="78">
        <f>'Федеральные  средства  по  МО'!BR13</f>
        <v>0</v>
      </c>
      <c r="IT12" s="74">
        <f t="shared" si="58"/>
        <v>0</v>
      </c>
      <c r="IU12" s="69"/>
      <c r="IV12" s="74"/>
      <c r="IW12" s="79">
        <f>'Федеральные  средства  по  МО'!BS13</f>
        <v>0</v>
      </c>
      <c r="IX12" s="75">
        <f t="shared" si="59"/>
        <v>0</v>
      </c>
      <c r="IY12" s="75"/>
      <c r="IZ12" s="74"/>
      <c r="JA12" s="78">
        <f>'Федеральные  средства  по  МО'!BT13</f>
        <v>0</v>
      </c>
      <c r="JB12" s="74">
        <f>'Проверочная  таблица'!RN18</f>
        <v>0</v>
      </c>
      <c r="JC12" s="69">
        <f>'Проверочная  таблица'!RT18</f>
        <v>0</v>
      </c>
      <c r="JD12" s="74">
        <f>'Проверочная  таблица'!RZ18</f>
        <v>0</v>
      </c>
      <c r="JE12" s="77">
        <f>'Федеральные  средства  по  МО'!BU13</f>
        <v>0</v>
      </c>
      <c r="JF12" s="74">
        <f>'Проверочная  таблица'!RK18</f>
        <v>0</v>
      </c>
      <c r="JG12" s="69">
        <f>'Проверочная  таблица'!RW18</f>
        <v>0</v>
      </c>
      <c r="JH12" s="76">
        <f>'Проверочная  таблица'!SC18</f>
        <v>0</v>
      </c>
      <c r="JI12" s="73">
        <f>'Федеральные  средства  по  МО'!BV13</f>
        <v>0</v>
      </c>
      <c r="JJ12" s="74">
        <f t="shared" si="60"/>
        <v>0</v>
      </c>
      <c r="JK12" s="69"/>
      <c r="JL12" s="74"/>
      <c r="JM12" s="79">
        <f>'Федеральные  средства  по  МО'!BW13</f>
        <v>0</v>
      </c>
      <c r="JN12" s="75">
        <f t="shared" si="61"/>
        <v>0</v>
      </c>
      <c r="JO12" s="69"/>
      <c r="JP12" s="76"/>
      <c r="JQ12" s="78">
        <f>'Федеральные  средства  по  МО'!BX13</f>
        <v>0</v>
      </c>
      <c r="JR12" s="74">
        <f t="shared" si="62"/>
        <v>0</v>
      </c>
      <c r="JS12" s="69"/>
      <c r="JT12" s="74"/>
      <c r="JU12" s="79">
        <f>'Федеральные  средства  по  МО'!BY13</f>
        <v>0</v>
      </c>
      <c r="JV12" s="74">
        <f t="shared" si="63"/>
        <v>0</v>
      </c>
      <c r="JW12" s="69"/>
      <c r="JX12" s="74"/>
      <c r="JY12" s="78">
        <f>'Федеральные  средства  по  МО'!BZ13</f>
        <v>0</v>
      </c>
      <c r="JZ12" s="74">
        <f t="shared" si="64"/>
        <v>0</v>
      </c>
      <c r="KA12" s="69"/>
      <c r="KB12" s="74"/>
      <c r="KC12" s="77">
        <f>'Федеральные  средства  по  МО'!CA13</f>
        <v>0</v>
      </c>
      <c r="KD12" s="74">
        <f t="shared" si="65"/>
        <v>0</v>
      </c>
      <c r="KE12" s="69"/>
      <c r="KF12" s="74"/>
      <c r="KG12" s="77">
        <f>'Федеральные  средства  по  МО'!CB13</f>
        <v>19234414.34</v>
      </c>
      <c r="KH12" s="76">
        <f>'Проверочная  таблица'!SZ18</f>
        <v>0</v>
      </c>
      <c r="KI12" s="74">
        <f>'Проверочная  таблица'!UB18</f>
        <v>0</v>
      </c>
      <c r="KJ12" s="69">
        <f>'Проверочная  таблица'!UP18</f>
        <v>19234414.34</v>
      </c>
      <c r="KK12" s="1043">
        <f>'Федеральные  средства  по  МО'!CC13</f>
        <v>936233.45</v>
      </c>
      <c r="KL12" s="69">
        <f>'Проверочная  таблица'!TG18</f>
        <v>0</v>
      </c>
      <c r="KM12" s="74">
        <f>'Проверочная  таблица'!UI18</f>
        <v>0</v>
      </c>
      <c r="KN12" s="75">
        <f>'Проверочная  таблица'!UW18</f>
        <v>936233.45</v>
      </c>
      <c r="KO12" s="77">
        <f>'Федеральные  средства  по  МО'!CD13</f>
        <v>0</v>
      </c>
      <c r="KP12" s="74">
        <f>'Проверочная  таблица'!TB18</f>
        <v>0</v>
      </c>
      <c r="KQ12" s="69">
        <f t="shared" si="66"/>
        <v>0</v>
      </c>
      <c r="KR12" s="74"/>
      <c r="KS12" s="77">
        <f>'Федеральные  средства  по  МО'!CE13</f>
        <v>0</v>
      </c>
      <c r="KT12" s="74">
        <f>'Проверочная  таблица'!TI18</f>
        <v>0</v>
      </c>
      <c r="KU12" s="69">
        <f t="shared" si="67"/>
        <v>0</v>
      </c>
      <c r="KV12" s="76"/>
      <c r="KW12" s="78">
        <f>'Федеральные  средства  по  МО'!CF13</f>
        <v>0</v>
      </c>
      <c r="KX12" s="76">
        <f>'Проверочная  таблица'!TD18</f>
        <v>0</v>
      </c>
      <c r="KY12" s="74">
        <f>'Проверочная  таблица'!UF18</f>
        <v>0</v>
      </c>
      <c r="KZ12" s="75"/>
      <c r="LA12" s="77">
        <f>'Федеральные  средства  по  МО'!CG13</f>
        <v>0</v>
      </c>
      <c r="LB12" s="76">
        <f>'Проверочная  таблица'!TK18</f>
        <v>0</v>
      </c>
      <c r="LC12" s="74">
        <f>'Проверочная  таблица'!TY18</f>
        <v>0</v>
      </c>
      <c r="LD12" s="74"/>
    </row>
    <row r="13" spans="1:316" ht="25.5" customHeight="1" x14ac:dyDescent="0.25">
      <c r="A13" s="70" t="s">
        <v>321</v>
      </c>
      <c r="B13" s="71">
        <f t="shared" si="14"/>
        <v>17772568.229999993</v>
      </c>
      <c r="C13" s="72">
        <f t="shared" si="15"/>
        <v>4973280.549999997</v>
      </c>
      <c r="D13" s="72">
        <f t="shared" si="16"/>
        <v>12612737.549999999</v>
      </c>
      <c r="E13" s="72">
        <f t="shared" si="17"/>
        <v>186550.13</v>
      </c>
      <c r="F13" s="71">
        <f t="shared" si="18"/>
        <v>4076966.12</v>
      </c>
      <c r="G13" s="72">
        <f t="shared" si="19"/>
        <v>671347.74</v>
      </c>
      <c r="H13" s="72">
        <f t="shared" si="1"/>
        <v>3405618.38</v>
      </c>
      <c r="I13" s="72">
        <f t="shared" si="2"/>
        <v>0</v>
      </c>
      <c r="J13" s="54"/>
      <c r="K13" s="55">
        <f>M13-'Федеральные  средства  по  МО'!N14-'Федеральные  средства  по  МО'!D14</f>
        <v>0</v>
      </c>
      <c r="L13" s="55">
        <f>Q13-'Федеральные  средства  по  МО'!O14-'Федеральные  средства  по  МО'!E14</f>
        <v>4.6566128730773926E-10</v>
      </c>
      <c r="M13" s="1083">
        <f t="shared" si="20"/>
        <v>129247333.41</v>
      </c>
      <c r="N13" s="72">
        <f t="shared" si="21"/>
        <v>98817180.549999997</v>
      </c>
      <c r="O13" s="72">
        <f t="shared" si="22"/>
        <v>12612737.549999999</v>
      </c>
      <c r="P13" s="72">
        <f t="shared" si="23"/>
        <v>186550.13</v>
      </c>
      <c r="Q13" s="1083">
        <f t="shared" si="24"/>
        <v>4076966.12</v>
      </c>
      <c r="R13" s="72">
        <f t="shared" si="25"/>
        <v>671347.74</v>
      </c>
      <c r="S13" s="72">
        <f t="shared" si="26"/>
        <v>3405618.38</v>
      </c>
      <c r="T13" s="72">
        <f t="shared" si="27"/>
        <v>0</v>
      </c>
      <c r="U13" s="73">
        <f>'Федеральные  средства  по  МО'!F14</f>
        <v>0</v>
      </c>
      <c r="V13" s="69">
        <f>'Проверочная  таблица'!BT19</f>
        <v>0</v>
      </c>
      <c r="W13" s="74">
        <f>'Проверочная  таблица'!BX19</f>
        <v>0</v>
      </c>
      <c r="X13" s="69">
        <f>'Проверочная  таблица'!BZ19</f>
        <v>0</v>
      </c>
      <c r="Y13" s="73">
        <f>'Федеральные  средства  по  МО'!G14</f>
        <v>0</v>
      </c>
      <c r="Z13" s="69">
        <f>'Проверочная  таблица'!BU19</f>
        <v>0</v>
      </c>
      <c r="AA13" s="74">
        <f>'Проверочная  таблица'!BY19</f>
        <v>0</v>
      </c>
      <c r="AB13" s="69">
        <f>'Проверочная  таблица'!CA19</f>
        <v>0</v>
      </c>
      <c r="AC13" s="1043">
        <f>'Федеральные  средства  по  МО'!H14</f>
        <v>53236900</v>
      </c>
      <c r="AD13" s="75">
        <f t="shared" si="28"/>
        <v>53236900</v>
      </c>
      <c r="AE13" s="69"/>
      <c r="AF13" s="76"/>
      <c r="AG13" s="1043">
        <f>'Федеральные  средства  по  МО'!I14</f>
        <v>0</v>
      </c>
      <c r="AH13" s="75">
        <f t="shared" si="29"/>
        <v>0</v>
      </c>
      <c r="AI13" s="69"/>
      <c r="AJ13" s="74"/>
      <c r="AK13" s="73">
        <f>'Федеральные  средства  по  МО'!J14</f>
        <v>40607000</v>
      </c>
      <c r="AL13" s="75">
        <f t="shared" si="30"/>
        <v>40607000</v>
      </c>
      <c r="AM13" s="69"/>
      <c r="AN13" s="76"/>
      <c r="AO13" s="73">
        <f>'Федеральные  средства  по  МО'!K14</f>
        <v>0</v>
      </c>
      <c r="AP13" s="75">
        <f t="shared" si="31"/>
        <v>0</v>
      </c>
      <c r="AQ13" s="69"/>
      <c r="AR13" s="74"/>
      <c r="AS13" s="77">
        <f>'Федеральные  средства  по  МО'!P14</f>
        <v>0</v>
      </c>
      <c r="AT13" s="74">
        <f>'Проверочная  таблица'!CX19</f>
        <v>0</v>
      </c>
      <c r="AU13" s="69"/>
      <c r="AV13" s="76"/>
      <c r="AW13" s="78">
        <f>'Федеральные  средства  по  МО'!Q14</f>
        <v>0</v>
      </c>
      <c r="AX13" s="74">
        <f>'Проверочная  таблица'!DE19</f>
        <v>0</v>
      </c>
      <c r="AY13" s="75"/>
      <c r="AZ13" s="69"/>
      <c r="BA13" s="78">
        <f>'Федеральные  средства  по  МО'!R14</f>
        <v>0</v>
      </c>
      <c r="BB13" s="74">
        <f>'Проверочная  таблица'!CZ19</f>
        <v>0</v>
      </c>
      <c r="BC13" s="69"/>
      <c r="BD13" s="74">
        <f>'Проверочная  таблица'!DL19</f>
        <v>0</v>
      </c>
      <c r="BE13" s="77">
        <f>'Федеральные  средства  по  МО'!S14</f>
        <v>0</v>
      </c>
      <c r="BF13" s="74">
        <f>'Проверочная  таблица'!DG19</f>
        <v>0</v>
      </c>
      <c r="BG13" s="69"/>
      <c r="BH13" s="74">
        <f>'Проверочная  таблица'!DO19</f>
        <v>0</v>
      </c>
      <c r="BI13" s="77">
        <f>'Федеральные  средства  по  МО'!T14</f>
        <v>0</v>
      </c>
      <c r="BJ13" s="74">
        <f t="shared" si="32"/>
        <v>0</v>
      </c>
      <c r="BK13" s="69"/>
      <c r="BL13" s="74"/>
      <c r="BM13" s="79">
        <f>'Федеральные  средства  по  МО'!U14</f>
        <v>0</v>
      </c>
      <c r="BN13" s="74">
        <f t="shared" si="33"/>
        <v>0</v>
      </c>
      <c r="BO13" s="75"/>
      <c r="BP13" s="75"/>
      <c r="BQ13" s="73">
        <f>'Федеральные  средства  по  МО'!V14</f>
        <v>0</v>
      </c>
      <c r="BR13" s="75">
        <f t="shared" si="4"/>
        <v>0</v>
      </c>
      <c r="BS13" s="74"/>
      <c r="BT13" s="69"/>
      <c r="BU13" s="73">
        <f>'Федеральные  средства  по  МО'!W14</f>
        <v>0</v>
      </c>
      <c r="BV13" s="75">
        <f t="shared" si="5"/>
        <v>0</v>
      </c>
      <c r="BW13" s="74"/>
      <c r="BX13" s="69"/>
      <c r="BY13" s="73">
        <f>'Федеральные  средства  по  МО'!X14</f>
        <v>0</v>
      </c>
      <c r="BZ13" s="75">
        <f t="shared" si="6"/>
        <v>0</v>
      </c>
      <c r="CA13" s="74"/>
      <c r="CB13" s="69"/>
      <c r="CC13" s="73">
        <f>'Федеральные  средства  по  МО'!Y14</f>
        <v>0</v>
      </c>
      <c r="CD13" s="75">
        <f t="shared" si="7"/>
        <v>0</v>
      </c>
      <c r="CE13" s="74"/>
      <c r="CF13" s="69"/>
      <c r="CG13" s="73">
        <f>'Федеральные  средства  по  МО'!Z14</f>
        <v>0</v>
      </c>
      <c r="CH13" s="75">
        <f t="shared" si="8"/>
        <v>0</v>
      </c>
      <c r="CI13" s="69"/>
      <c r="CJ13" s="76"/>
      <c r="CK13" s="73">
        <f>'Федеральные  средства  по  МО'!AA14</f>
        <v>0</v>
      </c>
      <c r="CL13" s="75">
        <f t="shared" si="9"/>
        <v>0</v>
      </c>
      <c r="CM13" s="74"/>
      <c r="CN13" s="75"/>
      <c r="CO13" s="78">
        <f>'Федеральные  средства  по  МО'!AB14</f>
        <v>0</v>
      </c>
      <c r="CP13" s="74">
        <f t="shared" si="34"/>
        <v>0</v>
      </c>
      <c r="CQ13" s="69"/>
      <c r="CR13" s="74"/>
      <c r="CS13" s="77">
        <f>'Федеральные  средства  по  МО'!AC14</f>
        <v>0</v>
      </c>
      <c r="CT13" s="74">
        <f t="shared" si="35"/>
        <v>0</v>
      </c>
      <c r="CU13" s="69"/>
      <c r="CV13" s="74"/>
      <c r="CW13" s="78">
        <f>'Федеральные  средства  по  МО'!AD14</f>
        <v>0</v>
      </c>
      <c r="CX13" s="76">
        <f>'Проверочная  таблица'!FD19</f>
        <v>0</v>
      </c>
      <c r="CY13" s="74">
        <f t="shared" si="36"/>
        <v>0</v>
      </c>
      <c r="CZ13" s="75"/>
      <c r="DA13" s="77">
        <f>'Федеральные  средства  по  МО'!AE14</f>
        <v>0</v>
      </c>
      <c r="DB13" s="76">
        <f>'Проверочная  таблица'!FG19</f>
        <v>0</v>
      </c>
      <c r="DC13" s="74">
        <f t="shared" si="37"/>
        <v>0</v>
      </c>
      <c r="DD13" s="69"/>
      <c r="DE13" s="73">
        <f>'Федеральные  средства  по  МО'!AF14</f>
        <v>0</v>
      </c>
      <c r="DF13" s="75">
        <f t="shared" si="38"/>
        <v>0</v>
      </c>
      <c r="DG13" s="69"/>
      <c r="DH13" s="76"/>
      <c r="DI13" s="73">
        <f>'Федеральные  средства  по  МО'!AG14</f>
        <v>0</v>
      </c>
      <c r="DJ13" s="75">
        <f t="shared" si="39"/>
        <v>0</v>
      </c>
      <c r="DK13" s="69"/>
      <c r="DL13" s="76"/>
      <c r="DM13" s="73">
        <f>'Федеральные  средства  по  МО'!AH14</f>
        <v>0</v>
      </c>
      <c r="DN13" s="75">
        <f t="shared" si="40"/>
        <v>0</v>
      </c>
      <c r="DO13" s="69"/>
      <c r="DP13" s="76"/>
      <c r="DQ13" s="73">
        <f>'Федеральные  средства  по  МО'!AI14</f>
        <v>0</v>
      </c>
      <c r="DR13" s="75">
        <f t="shared" si="41"/>
        <v>0</v>
      </c>
      <c r="DS13" s="69"/>
      <c r="DT13" s="74"/>
      <c r="DU13" s="78">
        <f>'Федеральные  средства  по  МО'!AJ14</f>
        <v>0</v>
      </c>
      <c r="DV13" s="74">
        <f t="shared" si="42"/>
        <v>0</v>
      </c>
      <c r="DW13" s="69"/>
      <c r="DX13" s="74"/>
      <c r="DY13" s="77">
        <f>'Федеральные  средства  по  МО'!AK14</f>
        <v>0</v>
      </c>
      <c r="DZ13" s="74">
        <f t="shared" si="43"/>
        <v>0</v>
      </c>
      <c r="EA13" s="69"/>
      <c r="EB13" s="76"/>
      <c r="EC13" s="73">
        <f>'Федеральные  средства  по  МО'!AL14</f>
        <v>0</v>
      </c>
      <c r="ED13" s="69">
        <f t="shared" si="10"/>
        <v>0</v>
      </c>
      <c r="EE13" s="74"/>
      <c r="EF13" s="69"/>
      <c r="EG13" s="73">
        <f>'Федеральные  средства  по  МО'!AM14</f>
        <v>0</v>
      </c>
      <c r="EH13" s="69">
        <f t="shared" si="11"/>
        <v>0</v>
      </c>
      <c r="EI13" s="74"/>
      <c r="EJ13" s="69"/>
      <c r="EK13" s="78">
        <f>'Федеральные  средства  по  МО'!AN14</f>
        <v>0</v>
      </c>
      <c r="EL13" s="74"/>
      <c r="EM13" s="69"/>
      <c r="EN13" s="74">
        <f t="shared" si="44"/>
        <v>0</v>
      </c>
      <c r="EO13" s="77">
        <f>'Федеральные  средства  по  МО'!AO14</f>
        <v>0</v>
      </c>
      <c r="EP13" s="74"/>
      <c r="EQ13" s="69"/>
      <c r="ER13" s="76">
        <f t="shared" si="45"/>
        <v>0</v>
      </c>
      <c r="ES13" s="1055">
        <f>'Федеральные  средства  по  МО'!AP14</f>
        <v>0</v>
      </c>
      <c r="ET13" s="74">
        <f>'Проверочная  таблица'!IR19</f>
        <v>0</v>
      </c>
      <c r="EU13" s="69">
        <f>'Проверочная  таблица'!JB19</f>
        <v>0</v>
      </c>
      <c r="EV13" s="74">
        <f>'Проверочная  таблица'!JD19</f>
        <v>0</v>
      </c>
      <c r="EW13" s="1057">
        <f>'Федеральные  средства  по  МО'!AQ14</f>
        <v>0</v>
      </c>
      <c r="EX13" s="74">
        <f>'Проверочная  таблица'!IU19</f>
        <v>0</v>
      </c>
      <c r="EY13" s="69">
        <f>'Проверочная  таблица'!JC19</f>
        <v>0</v>
      </c>
      <c r="EZ13" s="74">
        <f>'Проверочная  таблица'!JE19</f>
        <v>0</v>
      </c>
      <c r="FA13" s="79">
        <f>'Федеральные  средства  по  МО'!AR14</f>
        <v>0</v>
      </c>
      <c r="FB13" s="75"/>
      <c r="FC13" s="69"/>
      <c r="FD13" s="76"/>
      <c r="FE13" s="73">
        <f>'Федеральные  средства  по  МО'!AS14</f>
        <v>0</v>
      </c>
      <c r="FF13" s="75"/>
      <c r="FG13" s="69"/>
      <c r="FH13" s="74"/>
      <c r="FI13" s="79">
        <f>'Федеральные  средства  по  МО'!AT14</f>
        <v>0</v>
      </c>
      <c r="FJ13" s="75"/>
      <c r="FK13" s="69"/>
      <c r="FL13" s="76"/>
      <c r="FM13" s="73">
        <f>'Федеральные  средства  по  МО'!AU14</f>
        <v>0</v>
      </c>
      <c r="FN13" s="69"/>
      <c r="FO13" s="74"/>
      <c r="FP13" s="69"/>
      <c r="FQ13" s="78">
        <f>'Федеральные  средства  по  МО'!AV14</f>
        <v>0</v>
      </c>
      <c r="FR13" s="76">
        <f>'Проверочная  таблица'!JT19</f>
        <v>0</v>
      </c>
      <c r="FS13" s="74">
        <f>'Проверочная  таблица'!KF19</f>
        <v>-186550.13</v>
      </c>
      <c r="FT13" s="74">
        <f>'Проверочная  таблица'!KL19</f>
        <v>186550.13</v>
      </c>
      <c r="FU13" s="77">
        <f>'Федеральные  средства  по  МО'!AW14</f>
        <v>0</v>
      </c>
      <c r="FV13" s="74">
        <f>'Проверочная  таблица'!JW19</f>
        <v>0</v>
      </c>
      <c r="FW13" s="69">
        <f>'Проверочная  таблица'!KI19</f>
        <v>0</v>
      </c>
      <c r="FX13" s="74">
        <f>'Проверочная  таблица'!KO19</f>
        <v>0</v>
      </c>
      <c r="FY13" s="78">
        <f>'Федеральные  средства  по  МО'!AX14</f>
        <v>353490.17</v>
      </c>
      <c r="FZ13" s="74"/>
      <c r="GA13" s="69">
        <f t="shared" si="46"/>
        <v>353490.17</v>
      </c>
      <c r="GB13" s="74"/>
      <c r="GC13" s="73">
        <f>'Федеральные  средства  по  МО'!AY14</f>
        <v>0</v>
      </c>
      <c r="GD13" s="69"/>
      <c r="GE13" s="74">
        <f t="shared" si="47"/>
        <v>0</v>
      </c>
      <c r="GF13" s="69"/>
      <c r="GG13" s="73">
        <f>'Федеральные  средства  по  МО'!AZ14</f>
        <v>29130.42</v>
      </c>
      <c r="GH13" s="75">
        <f t="shared" si="48"/>
        <v>29130.42</v>
      </c>
      <c r="GI13" s="69"/>
      <c r="GJ13" s="76"/>
      <c r="GK13" s="73">
        <f>'Федеральные  средства  по  МО'!BA14</f>
        <v>0</v>
      </c>
      <c r="GL13" s="75">
        <f t="shared" si="49"/>
        <v>0</v>
      </c>
      <c r="GM13" s="69"/>
      <c r="GN13" s="74"/>
      <c r="GO13" s="79">
        <f>'Федеральные  средства  по  МО'!BB14</f>
        <v>0</v>
      </c>
      <c r="GP13" s="69"/>
      <c r="GQ13" s="76">
        <f>'Проверочная  таблица'!MO19</f>
        <v>0</v>
      </c>
      <c r="GR13" s="74">
        <f>'Проверочная  таблица'!MW19</f>
        <v>0</v>
      </c>
      <c r="GS13" s="77">
        <f>'Федеральные  средства  по  МО'!BC14</f>
        <v>0</v>
      </c>
      <c r="GT13" s="76"/>
      <c r="GU13" s="74">
        <f>'Проверочная  таблица'!MS19</f>
        <v>0</v>
      </c>
      <c r="GV13" s="75">
        <f>'Проверочная  таблица'!NA19</f>
        <v>0</v>
      </c>
      <c r="GW13" s="77">
        <f>'Федеральные  средства  по  МО'!BD14</f>
        <v>4757600</v>
      </c>
      <c r="GX13" s="74">
        <f t="shared" si="50"/>
        <v>4757600</v>
      </c>
      <c r="GY13" s="69"/>
      <c r="GZ13" s="76"/>
      <c r="HA13" s="73">
        <f>'Федеральные  средства  по  МО'!BE14</f>
        <v>484797.61</v>
      </c>
      <c r="HB13" s="74">
        <f t="shared" si="51"/>
        <v>484797.61</v>
      </c>
      <c r="HC13" s="75"/>
      <c r="HD13" s="69"/>
      <c r="HE13" s="73">
        <f>'Федеральные  средства  по  МО'!BF14</f>
        <v>0</v>
      </c>
      <c r="HF13" s="76">
        <f t="shared" si="52"/>
        <v>0</v>
      </c>
      <c r="HG13" s="74"/>
      <c r="HH13" s="75"/>
      <c r="HI13" s="79">
        <f>'Федеральные  средства  по  МО'!BG14</f>
        <v>0</v>
      </c>
      <c r="HJ13" s="76">
        <f t="shared" si="12"/>
        <v>0</v>
      </c>
      <c r="HK13" s="74"/>
      <c r="HL13" s="75"/>
      <c r="HM13" s="78">
        <f>'Федеральные  средства  по  МО'!BH14</f>
        <v>186550.13</v>
      </c>
      <c r="HN13" s="76">
        <f t="shared" si="53"/>
        <v>186550.13</v>
      </c>
      <c r="HO13" s="74"/>
      <c r="HP13" s="75">
        <f>'Проверочная  таблица'!OF19</f>
        <v>0</v>
      </c>
      <c r="HQ13" s="79">
        <f>'Федеральные  средства  по  МО'!BI14</f>
        <v>186550.13</v>
      </c>
      <c r="HR13" s="76">
        <f t="shared" si="54"/>
        <v>186550.13</v>
      </c>
      <c r="HS13" s="76"/>
      <c r="HT13" s="74">
        <f>'Проверочная  таблица'!OI19</f>
        <v>0</v>
      </c>
      <c r="HU13" s="79">
        <f>'Федеральные  средства  по  МО'!BJ14</f>
        <v>0</v>
      </c>
      <c r="HV13" s="75">
        <f t="shared" si="55"/>
        <v>0</v>
      </c>
      <c r="HW13" s="69"/>
      <c r="HX13" s="76"/>
      <c r="HY13" s="73">
        <f>'Федеральные  средства  по  МО'!BK14</f>
        <v>0</v>
      </c>
      <c r="HZ13" s="75">
        <f t="shared" si="13"/>
        <v>0</v>
      </c>
      <c r="IA13" s="69"/>
      <c r="IB13" s="74"/>
      <c r="IC13" s="78">
        <f>'Федеральные  средства  по  МО'!BL14</f>
        <v>17630865.18</v>
      </c>
      <c r="ID13" s="76"/>
      <c r="IE13" s="74"/>
      <c r="IF13" s="75">
        <f>'Проверочная  таблица'!PR19</f>
        <v>0</v>
      </c>
      <c r="IG13" s="77">
        <f>'Федеральные  средства  по  МО'!BM14</f>
        <v>0</v>
      </c>
      <c r="IH13" s="76"/>
      <c r="II13" s="74"/>
      <c r="IJ13" s="75">
        <f>'Проверочная  таблица'!PV19</f>
        <v>0</v>
      </c>
      <c r="IK13" s="78">
        <f>'Федеральные  средства  по  МО'!BN14</f>
        <v>0</v>
      </c>
      <c r="IL13" s="76">
        <f>'Проверочная  таблица'!PZ19</f>
        <v>0</v>
      </c>
      <c r="IM13" s="74">
        <f t="shared" si="56"/>
        <v>0</v>
      </c>
      <c r="IN13" s="75"/>
      <c r="IO13" s="77">
        <f>'Федеральные  средства  по  МО'!BO14</f>
        <v>0</v>
      </c>
      <c r="IP13" s="76">
        <f>'Проверочная  таблица'!QE19</f>
        <v>0</v>
      </c>
      <c r="IQ13" s="74">
        <f t="shared" si="57"/>
        <v>0</v>
      </c>
      <c r="IR13" s="75"/>
      <c r="IS13" s="78">
        <f>'Федеральные  средства  по  МО'!BR14</f>
        <v>0</v>
      </c>
      <c r="IT13" s="74">
        <f t="shared" si="58"/>
        <v>0</v>
      </c>
      <c r="IU13" s="69"/>
      <c r="IV13" s="74"/>
      <c r="IW13" s="79">
        <f>'Федеральные  средства  по  МО'!BS14</f>
        <v>0</v>
      </c>
      <c r="IX13" s="75">
        <f t="shared" si="59"/>
        <v>0</v>
      </c>
      <c r="IY13" s="75"/>
      <c r="IZ13" s="74"/>
      <c r="JA13" s="78">
        <f>'Федеральные  средства  по  МО'!BT14</f>
        <v>0</v>
      </c>
      <c r="JB13" s="74">
        <f>'Проверочная  таблица'!RN19</f>
        <v>0</v>
      </c>
      <c r="JC13" s="69">
        <f>'Проверочная  таблица'!RT19</f>
        <v>0</v>
      </c>
      <c r="JD13" s="74">
        <f>'Проверочная  таблица'!RZ19</f>
        <v>0</v>
      </c>
      <c r="JE13" s="77">
        <f>'Федеральные  средства  по  МО'!BU14</f>
        <v>0</v>
      </c>
      <c r="JF13" s="74">
        <f>'Проверочная  таблица'!RK19</f>
        <v>0</v>
      </c>
      <c r="JG13" s="69">
        <f>'Проверочная  таблица'!RW19</f>
        <v>0</v>
      </c>
      <c r="JH13" s="76">
        <f>'Проверочная  таблица'!SC19</f>
        <v>0</v>
      </c>
      <c r="JI13" s="73">
        <f>'Федеральные  средства  по  МО'!BV14</f>
        <v>0</v>
      </c>
      <c r="JJ13" s="74">
        <f t="shared" si="60"/>
        <v>0</v>
      </c>
      <c r="JK13" s="69"/>
      <c r="JL13" s="74"/>
      <c r="JM13" s="79">
        <f>'Федеральные  средства  по  МО'!BW14</f>
        <v>0</v>
      </c>
      <c r="JN13" s="75">
        <f t="shared" si="61"/>
        <v>0</v>
      </c>
      <c r="JO13" s="69"/>
      <c r="JP13" s="76"/>
      <c r="JQ13" s="78">
        <f>'Федеральные  средства  по  МО'!BX14</f>
        <v>0</v>
      </c>
      <c r="JR13" s="74">
        <f t="shared" si="62"/>
        <v>0</v>
      </c>
      <c r="JS13" s="69"/>
      <c r="JT13" s="74"/>
      <c r="JU13" s="79">
        <f>'Федеральные  средства  по  МО'!BY14</f>
        <v>0</v>
      </c>
      <c r="JV13" s="74">
        <f t="shared" si="63"/>
        <v>0</v>
      </c>
      <c r="JW13" s="69"/>
      <c r="JX13" s="74"/>
      <c r="JY13" s="78">
        <f>'Федеральные  средства  по  МО'!BZ14</f>
        <v>0</v>
      </c>
      <c r="JZ13" s="74">
        <f t="shared" si="64"/>
        <v>0</v>
      </c>
      <c r="KA13" s="69"/>
      <c r="KB13" s="74"/>
      <c r="KC13" s="77">
        <f>'Федеральные  средства  по  МО'!CA14</f>
        <v>0</v>
      </c>
      <c r="KD13" s="74">
        <f t="shared" si="65"/>
        <v>0</v>
      </c>
      <c r="KE13" s="69"/>
      <c r="KF13" s="74"/>
      <c r="KG13" s="77">
        <f>'Федеральные  средства  по  МО'!CB14</f>
        <v>12445797.51</v>
      </c>
      <c r="KH13" s="76">
        <f>'Проверочная  таблица'!SZ19</f>
        <v>0</v>
      </c>
      <c r="KI13" s="74">
        <f>'Проверочная  таблица'!UB19</f>
        <v>12445797.51</v>
      </c>
      <c r="KJ13" s="69">
        <f>'Проверочная  таблица'!UP19</f>
        <v>0</v>
      </c>
      <c r="KK13" s="1043">
        <f>'Федеральные  средства  по  МО'!CC14</f>
        <v>3405618.38</v>
      </c>
      <c r="KL13" s="69">
        <f>'Проверочная  таблица'!TG19</f>
        <v>0</v>
      </c>
      <c r="KM13" s="74">
        <f>'Проверочная  таблица'!UI19</f>
        <v>3405618.38</v>
      </c>
      <c r="KN13" s="75">
        <f>'Проверочная  таблица'!UW19</f>
        <v>0</v>
      </c>
      <c r="KO13" s="77">
        <f>'Федеральные  средства  по  МО'!CD14</f>
        <v>0</v>
      </c>
      <c r="KP13" s="74">
        <f>'Проверочная  таблица'!TB19</f>
        <v>0</v>
      </c>
      <c r="KQ13" s="69">
        <f t="shared" si="66"/>
        <v>0</v>
      </c>
      <c r="KR13" s="74"/>
      <c r="KS13" s="77">
        <f>'Федеральные  средства  по  МО'!CE14</f>
        <v>0</v>
      </c>
      <c r="KT13" s="74">
        <f>'Проверочная  таблица'!TI19</f>
        <v>0</v>
      </c>
      <c r="KU13" s="69">
        <f t="shared" si="67"/>
        <v>0</v>
      </c>
      <c r="KV13" s="76"/>
      <c r="KW13" s="78">
        <f>'Федеральные  средства  по  МО'!CF14</f>
        <v>0</v>
      </c>
      <c r="KX13" s="76">
        <f>'Проверочная  таблица'!TD19</f>
        <v>0</v>
      </c>
      <c r="KY13" s="74">
        <f>'Проверочная  таблица'!UF19</f>
        <v>0</v>
      </c>
      <c r="KZ13" s="75"/>
      <c r="LA13" s="77">
        <f>'Федеральные  средства  по  МО'!CG14</f>
        <v>0</v>
      </c>
      <c r="LB13" s="76">
        <f>'Проверочная  таблица'!TK19</f>
        <v>0</v>
      </c>
      <c r="LC13" s="74">
        <f>'Проверочная  таблица'!TY19</f>
        <v>0</v>
      </c>
      <c r="LD13" s="74"/>
    </row>
    <row r="14" spans="1:316" ht="25.5" customHeight="1" x14ac:dyDescent="0.25">
      <c r="A14" s="84" t="s">
        <v>322</v>
      </c>
      <c r="B14" s="53">
        <f t="shared" si="14"/>
        <v>891000933.89999998</v>
      </c>
      <c r="C14" s="53">
        <f t="shared" si="15"/>
        <v>887529883.12</v>
      </c>
      <c r="D14" s="53">
        <f t="shared" si="16"/>
        <v>3236007.01</v>
      </c>
      <c r="E14" s="53">
        <f t="shared" si="17"/>
        <v>235043.77</v>
      </c>
      <c r="F14" s="53">
        <f t="shared" si="18"/>
        <v>323245804.25999999</v>
      </c>
      <c r="G14" s="53">
        <f t="shared" si="19"/>
        <v>323245804.25999999</v>
      </c>
      <c r="H14" s="53">
        <f t="shared" si="1"/>
        <v>0</v>
      </c>
      <c r="I14" s="53">
        <f t="shared" si="2"/>
        <v>0</v>
      </c>
      <c r="J14" s="54"/>
      <c r="K14" s="55">
        <f>M14-'Федеральные  средства  по  МО'!N15-'Федеральные  средства  по  МО'!D15</f>
        <v>0</v>
      </c>
      <c r="L14" s="55">
        <f>Q14-'Федеральные  средства  по  МО'!O15-'Федеральные  средства  по  МО'!E15</f>
        <v>0</v>
      </c>
      <c r="M14" s="1084">
        <f t="shared" si="20"/>
        <v>995309022.4000001</v>
      </c>
      <c r="N14" s="1084">
        <f t="shared" si="21"/>
        <v>991837971.62</v>
      </c>
      <c r="O14" s="1084">
        <f t="shared" si="22"/>
        <v>3236007.01</v>
      </c>
      <c r="P14" s="1084">
        <f t="shared" si="23"/>
        <v>235043.77</v>
      </c>
      <c r="Q14" s="1084">
        <f t="shared" si="24"/>
        <v>323245804.25999999</v>
      </c>
      <c r="R14" s="1084">
        <f t="shared" si="25"/>
        <v>323245804.25999999</v>
      </c>
      <c r="S14" s="1084">
        <f t="shared" si="26"/>
        <v>0</v>
      </c>
      <c r="T14" s="1084">
        <f t="shared" si="27"/>
        <v>0</v>
      </c>
      <c r="U14" s="85">
        <f>'Федеральные  средства  по  МО'!F15</f>
        <v>0</v>
      </c>
      <c r="V14" s="86">
        <f>'Проверочная  таблица'!BT14</f>
        <v>0</v>
      </c>
      <c r="W14" s="85">
        <f>'Проверочная  таблица'!BX14</f>
        <v>0</v>
      </c>
      <c r="X14" s="86">
        <f>'Проверочная  таблица'!BZ14</f>
        <v>0</v>
      </c>
      <c r="Y14" s="85">
        <f>'Федеральные  средства  по  МО'!G15</f>
        <v>0</v>
      </c>
      <c r="Z14" s="86">
        <f>'Проверочная  таблица'!BU14</f>
        <v>0</v>
      </c>
      <c r="AA14" s="85">
        <f>'Проверочная  таблица'!BY14</f>
        <v>0</v>
      </c>
      <c r="AB14" s="86">
        <f>'Проверочная  таблица'!CA14</f>
        <v>0</v>
      </c>
      <c r="AC14" s="1079">
        <f>'Федеральные  средства  по  МО'!H15</f>
        <v>51003088.5</v>
      </c>
      <c r="AD14" s="1080">
        <f t="shared" si="28"/>
        <v>51003088.5</v>
      </c>
      <c r="AE14" s="1081"/>
      <c r="AF14" s="1082"/>
      <c r="AG14" s="1079">
        <f>'Федеральные  средства  по  МО'!I15</f>
        <v>0</v>
      </c>
      <c r="AH14" s="87">
        <f t="shared" si="29"/>
        <v>0</v>
      </c>
      <c r="AI14" s="86"/>
      <c r="AJ14" s="85"/>
      <c r="AK14" s="85">
        <f>'Федеральные  средства  по  МО'!J15</f>
        <v>53305000</v>
      </c>
      <c r="AL14" s="87">
        <f t="shared" si="30"/>
        <v>53305000</v>
      </c>
      <c r="AM14" s="86"/>
      <c r="AN14" s="88"/>
      <c r="AO14" s="85">
        <f>'Федеральные  средства  по  МО'!K15</f>
        <v>0</v>
      </c>
      <c r="AP14" s="87">
        <f t="shared" si="31"/>
        <v>0</v>
      </c>
      <c r="AQ14" s="86"/>
      <c r="AR14" s="85"/>
      <c r="AS14" s="86">
        <f>'Федеральные  средства  по  МО'!P15</f>
        <v>0</v>
      </c>
      <c r="AT14" s="85">
        <f>'Проверочная  таблица'!CX14</f>
        <v>0</v>
      </c>
      <c r="AU14" s="65"/>
      <c r="AV14" s="66"/>
      <c r="AW14" s="88">
        <f>'Федеральные  средства  по  МО'!Q15</f>
        <v>0</v>
      </c>
      <c r="AX14" s="85">
        <f>'Проверочная  таблица'!DE14</f>
        <v>0</v>
      </c>
      <c r="AY14" s="64"/>
      <c r="AZ14" s="65"/>
      <c r="BA14" s="88">
        <f>'Федеральные  средства  по  МО'!R15</f>
        <v>0</v>
      </c>
      <c r="BB14" s="85">
        <f>'Проверочная  таблица'!CZ14</f>
        <v>0</v>
      </c>
      <c r="BC14" s="86"/>
      <c r="BD14" s="85">
        <f>'Проверочная  таблица'!DL14</f>
        <v>0</v>
      </c>
      <c r="BE14" s="86">
        <f>'Федеральные  средства  по  МО'!S15</f>
        <v>0</v>
      </c>
      <c r="BF14" s="85">
        <f>'Проверочная  таблица'!DG14</f>
        <v>0</v>
      </c>
      <c r="BG14" s="65"/>
      <c r="BH14" s="85">
        <f>'Проверочная  таблица'!DO14</f>
        <v>0</v>
      </c>
      <c r="BI14" s="86">
        <f>'Федеральные  средства  по  МО'!T15</f>
        <v>0</v>
      </c>
      <c r="BJ14" s="85">
        <f t="shared" si="32"/>
        <v>0</v>
      </c>
      <c r="BK14" s="86"/>
      <c r="BL14" s="85"/>
      <c r="BM14" s="87">
        <f>'Федеральные  средства  по  МО'!U15</f>
        <v>0</v>
      </c>
      <c r="BN14" s="85">
        <f t="shared" si="33"/>
        <v>0</v>
      </c>
      <c r="BO14" s="64"/>
      <c r="BP14" s="64"/>
      <c r="BQ14" s="85">
        <f>'Федеральные  средства  по  МО'!V15</f>
        <v>0</v>
      </c>
      <c r="BR14" s="64">
        <f t="shared" si="4"/>
        <v>0</v>
      </c>
      <c r="BS14" s="67"/>
      <c r="BT14" s="65"/>
      <c r="BU14" s="85">
        <f>'Федеральные  средства  по  МО'!W15</f>
        <v>0</v>
      </c>
      <c r="BV14" s="64">
        <f t="shared" si="5"/>
        <v>0</v>
      </c>
      <c r="BW14" s="67"/>
      <c r="BX14" s="65"/>
      <c r="BY14" s="85">
        <f>'Федеральные  средства  по  МО'!X15</f>
        <v>0</v>
      </c>
      <c r="BZ14" s="64">
        <f t="shared" si="6"/>
        <v>0</v>
      </c>
      <c r="CA14" s="67"/>
      <c r="CB14" s="65"/>
      <c r="CC14" s="85">
        <f>'Федеральные  средства  по  МО'!Y15</f>
        <v>0</v>
      </c>
      <c r="CD14" s="64">
        <f t="shared" si="7"/>
        <v>0</v>
      </c>
      <c r="CE14" s="67"/>
      <c r="CF14" s="65"/>
      <c r="CG14" s="85">
        <f>'Федеральные  средства  по  МО'!Z15</f>
        <v>0</v>
      </c>
      <c r="CH14" s="64">
        <f t="shared" si="8"/>
        <v>0</v>
      </c>
      <c r="CI14" s="65"/>
      <c r="CJ14" s="66"/>
      <c r="CK14" s="85">
        <f>'Федеральные  средства  по  МО'!AA15</f>
        <v>0</v>
      </c>
      <c r="CL14" s="64">
        <f t="shared" si="9"/>
        <v>0</v>
      </c>
      <c r="CM14" s="67"/>
      <c r="CN14" s="64"/>
      <c r="CO14" s="88">
        <f>'Федеральные  средства  по  МО'!AB15</f>
        <v>0</v>
      </c>
      <c r="CP14" s="85">
        <f t="shared" si="34"/>
        <v>0</v>
      </c>
      <c r="CQ14" s="86"/>
      <c r="CR14" s="85"/>
      <c r="CS14" s="86">
        <f>'Федеральные  средства  по  МО'!AC15</f>
        <v>0</v>
      </c>
      <c r="CT14" s="85">
        <f t="shared" si="35"/>
        <v>0</v>
      </c>
      <c r="CU14" s="86"/>
      <c r="CV14" s="85"/>
      <c r="CW14" s="88">
        <f>'Федеральные  средства  по  МО'!AD15</f>
        <v>0</v>
      </c>
      <c r="CX14" s="88">
        <f>'Проверочная  таблица'!FD14</f>
        <v>0</v>
      </c>
      <c r="CY14" s="85">
        <f t="shared" si="36"/>
        <v>0</v>
      </c>
      <c r="CZ14" s="87"/>
      <c r="DA14" s="86">
        <f>'Федеральные  средства  по  МО'!AE15</f>
        <v>0</v>
      </c>
      <c r="DB14" s="88">
        <f>'Проверочная  таблица'!FG14</f>
        <v>0</v>
      </c>
      <c r="DC14" s="85">
        <f t="shared" si="37"/>
        <v>0</v>
      </c>
      <c r="DD14" s="86"/>
      <c r="DE14" s="85">
        <f>'Федеральные  средства  по  МО'!AF15</f>
        <v>0</v>
      </c>
      <c r="DF14" s="87">
        <f t="shared" si="38"/>
        <v>0</v>
      </c>
      <c r="DG14" s="86"/>
      <c r="DH14" s="88"/>
      <c r="DI14" s="85">
        <f>'Федеральные  средства  по  МО'!AG15</f>
        <v>0</v>
      </c>
      <c r="DJ14" s="87">
        <f t="shared" si="39"/>
        <v>0</v>
      </c>
      <c r="DK14" s="86"/>
      <c r="DL14" s="88"/>
      <c r="DM14" s="85">
        <f>'Федеральные  средства  по  МО'!AH15</f>
        <v>157087380.22999999</v>
      </c>
      <c r="DN14" s="87">
        <f t="shared" si="40"/>
        <v>157087380.22999999</v>
      </c>
      <c r="DO14" s="86"/>
      <c r="DP14" s="88"/>
      <c r="DQ14" s="85">
        <f>'Федеральные  средства  по  МО'!AI15</f>
        <v>50526359.969999999</v>
      </c>
      <c r="DR14" s="87">
        <f t="shared" si="41"/>
        <v>50526359.969999999</v>
      </c>
      <c r="DS14" s="86"/>
      <c r="DT14" s="85"/>
      <c r="DU14" s="88">
        <f>'Федеральные  средства  по  МО'!AJ15</f>
        <v>0</v>
      </c>
      <c r="DV14" s="85">
        <f t="shared" si="42"/>
        <v>0</v>
      </c>
      <c r="DW14" s="86"/>
      <c r="DX14" s="85"/>
      <c r="DY14" s="86">
        <f>'Федеральные  средства  по  МО'!AK15</f>
        <v>0</v>
      </c>
      <c r="DZ14" s="85">
        <f t="shared" si="43"/>
        <v>0</v>
      </c>
      <c r="EA14" s="86"/>
      <c r="EB14" s="88"/>
      <c r="EC14" s="85">
        <f>'Федеральные  средства  по  МО'!AL15</f>
        <v>0</v>
      </c>
      <c r="ED14" s="86">
        <f t="shared" si="10"/>
        <v>0</v>
      </c>
      <c r="EE14" s="85"/>
      <c r="EF14" s="86"/>
      <c r="EG14" s="85">
        <f>'Федеральные  средства  по  МО'!AM15</f>
        <v>0</v>
      </c>
      <c r="EH14" s="86">
        <f t="shared" si="11"/>
        <v>0</v>
      </c>
      <c r="EI14" s="85"/>
      <c r="EJ14" s="86"/>
      <c r="EK14" s="88">
        <f>'Федеральные  средства  по  МО'!AN15</f>
        <v>0</v>
      </c>
      <c r="EL14" s="85"/>
      <c r="EM14" s="86"/>
      <c r="EN14" s="85">
        <f t="shared" si="44"/>
        <v>0</v>
      </c>
      <c r="EO14" s="86">
        <f>'Федеральные  средства  по  МО'!AO15</f>
        <v>0</v>
      </c>
      <c r="EP14" s="85"/>
      <c r="EQ14" s="86"/>
      <c r="ER14" s="88">
        <f t="shared" si="45"/>
        <v>0</v>
      </c>
      <c r="ES14" s="459">
        <f>'Федеральные  средства  по  МО'!AP15</f>
        <v>0</v>
      </c>
      <c r="ET14" s="460">
        <f>'Проверочная  таблица'!IR14</f>
        <v>0</v>
      </c>
      <c r="EU14" s="1062">
        <f>'Проверочная  таблица'!JB14</f>
        <v>0</v>
      </c>
      <c r="EV14" s="460">
        <f>'Проверочная  таблица'!JD14</f>
        <v>0</v>
      </c>
      <c r="EW14" s="1062">
        <f>'Федеральные  средства  по  МО'!AQ15</f>
        <v>0</v>
      </c>
      <c r="EX14" s="460">
        <f>'Проверочная  таблица'!IU14</f>
        <v>0</v>
      </c>
      <c r="EY14" s="1062">
        <f>'Проверочная  таблица'!JC14</f>
        <v>0</v>
      </c>
      <c r="EZ14" s="460">
        <f>'Проверочная  таблица'!JE14</f>
        <v>0</v>
      </c>
      <c r="FA14" s="87">
        <f>'Федеральные  средства  по  МО'!AR15</f>
        <v>0</v>
      </c>
      <c r="FB14" s="87"/>
      <c r="FC14" s="86"/>
      <c r="FD14" s="88"/>
      <c r="FE14" s="85">
        <f>'Федеральные  средства  по  МО'!AS15</f>
        <v>0</v>
      </c>
      <c r="FF14" s="87"/>
      <c r="FG14" s="86"/>
      <c r="FH14" s="85"/>
      <c r="FI14" s="87">
        <f>'Федеральные  средства  по  МО'!AT15</f>
        <v>0</v>
      </c>
      <c r="FJ14" s="64"/>
      <c r="FK14" s="65"/>
      <c r="FL14" s="66"/>
      <c r="FM14" s="85">
        <f>'Федеральные  средства  по  МО'!AU15</f>
        <v>0</v>
      </c>
      <c r="FN14" s="65"/>
      <c r="FO14" s="67"/>
      <c r="FP14" s="65"/>
      <c r="FQ14" s="88">
        <f>'Федеральные  средства  по  МО'!AV15</f>
        <v>0</v>
      </c>
      <c r="FR14" s="88">
        <f>'Проверочная  таблица'!JT14</f>
        <v>0</v>
      </c>
      <c r="FS14" s="85">
        <f>'Проверочная  таблица'!KF14</f>
        <v>-235043.77</v>
      </c>
      <c r="FT14" s="85">
        <f>'Проверочная  таблица'!KL14</f>
        <v>235043.77</v>
      </c>
      <c r="FU14" s="86">
        <f>'Федеральные  средства  по  МО'!AW15</f>
        <v>0</v>
      </c>
      <c r="FV14" s="85">
        <f>'Проверочная  таблица'!JW14</f>
        <v>0</v>
      </c>
      <c r="FW14" s="86">
        <f>'Проверочная  таблица'!KI14</f>
        <v>0</v>
      </c>
      <c r="FX14" s="85">
        <f>'Проверочная  таблица'!KO14</f>
        <v>0</v>
      </c>
      <c r="FY14" s="88">
        <f>'Федеральные  средства  по  МО'!AX15</f>
        <v>227717.34</v>
      </c>
      <c r="FZ14" s="85"/>
      <c r="GA14" s="86">
        <f t="shared" si="46"/>
        <v>227717.34</v>
      </c>
      <c r="GB14" s="85"/>
      <c r="GC14" s="85">
        <f>'Федеральные  средства  по  МО'!AY15</f>
        <v>0</v>
      </c>
      <c r="GD14" s="86"/>
      <c r="GE14" s="85">
        <f t="shared" si="47"/>
        <v>0</v>
      </c>
      <c r="GF14" s="86"/>
      <c r="GG14" s="85">
        <f>'Федеральные  средства  по  МО'!AZ15</f>
        <v>203066.48</v>
      </c>
      <c r="GH14" s="87">
        <f t="shared" si="48"/>
        <v>203066.48</v>
      </c>
      <c r="GI14" s="86"/>
      <c r="GJ14" s="88"/>
      <c r="GK14" s="85">
        <f>'Федеральные  средства  по  МО'!BA15</f>
        <v>0</v>
      </c>
      <c r="GL14" s="87">
        <f t="shared" si="49"/>
        <v>0</v>
      </c>
      <c r="GM14" s="86"/>
      <c r="GN14" s="85"/>
      <c r="GO14" s="87">
        <f>'Федеральные  средства  по  МО'!BB15</f>
        <v>0</v>
      </c>
      <c r="GP14" s="65"/>
      <c r="GQ14" s="88">
        <f>'Проверочная  таблица'!MO14</f>
        <v>0</v>
      </c>
      <c r="GR14" s="85">
        <f>'Проверочная  таблица'!MW14</f>
        <v>0</v>
      </c>
      <c r="GS14" s="86">
        <f>'Федеральные  средства  по  МО'!BC15</f>
        <v>0</v>
      </c>
      <c r="GT14" s="88"/>
      <c r="GU14" s="85">
        <f>'Проверочная  таблица'!MS14</f>
        <v>0</v>
      </c>
      <c r="GV14" s="87">
        <f>'Проверочная  таблица'!NA14</f>
        <v>0</v>
      </c>
      <c r="GW14" s="86">
        <f>'Федеральные  средства  по  МО'!BD15</f>
        <v>0</v>
      </c>
      <c r="GX14" s="85">
        <f t="shared" si="50"/>
        <v>0</v>
      </c>
      <c r="GY14" s="86"/>
      <c r="GZ14" s="88"/>
      <c r="HA14" s="85">
        <f>'Федеральные  средства  по  МО'!BE15</f>
        <v>0</v>
      </c>
      <c r="HB14" s="85">
        <f t="shared" si="51"/>
        <v>0</v>
      </c>
      <c r="HC14" s="87"/>
      <c r="HD14" s="65"/>
      <c r="HE14" s="85">
        <f>'Федеральные  средства  по  МО'!BF15</f>
        <v>0</v>
      </c>
      <c r="HF14" s="88">
        <f t="shared" si="52"/>
        <v>0</v>
      </c>
      <c r="HG14" s="85"/>
      <c r="HH14" s="87"/>
      <c r="HI14" s="87">
        <f>'Федеральные  средства  по  МО'!BG15</f>
        <v>0</v>
      </c>
      <c r="HJ14" s="88">
        <f t="shared" si="12"/>
        <v>0</v>
      </c>
      <c r="HK14" s="85"/>
      <c r="HL14" s="87"/>
      <c r="HM14" s="88">
        <f>'Федеральные  средства  по  МО'!BH15</f>
        <v>235043.77</v>
      </c>
      <c r="HN14" s="88">
        <f t="shared" si="53"/>
        <v>235043.77</v>
      </c>
      <c r="HO14" s="85"/>
      <c r="HP14" s="87">
        <f>'Проверочная  таблица'!OF14</f>
        <v>0</v>
      </c>
      <c r="HQ14" s="87">
        <f>'Федеральные  средства  по  МО'!BI15</f>
        <v>235043.77</v>
      </c>
      <c r="HR14" s="88">
        <f t="shared" si="54"/>
        <v>235043.77</v>
      </c>
      <c r="HS14" s="66"/>
      <c r="HT14" s="85">
        <f>'Проверочная  таблица'!OI14</f>
        <v>0</v>
      </c>
      <c r="HU14" s="87">
        <f>'Федеральные  средства  по  МО'!BJ15</f>
        <v>0</v>
      </c>
      <c r="HV14" s="64">
        <f t="shared" si="55"/>
        <v>0</v>
      </c>
      <c r="HW14" s="65"/>
      <c r="HX14" s="66"/>
      <c r="HY14" s="85">
        <f>'Федеральные  средства  по  МО'!BK15</f>
        <v>0</v>
      </c>
      <c r="HZ14" s="64">
        <f t="shared" si="13"/>
        <v>0</v>
      </c>
      <c r="IA14" s="65"/>
      <c r="IB14" s="67"/>
      <c r="IC14" s="88">
        <f>'Федеральные  средства  по  МО'!BL15</f>
        <v>0</v>
      </c>
      <c r="ID14" s="88"/>
      <c r="IE14" s="85"/>
      <c r="IF14" s="87">
        <f>'Проверочная  таблица'!PR14</f>
        <v>0</v>
      </c>
      <c r="IG14" s="86">
        <f>'Федеральные  средства  по  МО'!BM15</f>
        <v>0</v>
      </c>
      <c r="IH14" s="88"/>
      <c r="II14" s="85"/>
      <c r="IJ14" s="87">
        <f>'Проверочная  таблица'!PV14</f>
        <v>0</v>
      </c>
      <c r="IK14" s="88">
        <f>'Федеральные  средства  по  МО'!BN15</f>
        <v>2889951.19</v>
      </c>
      <c r="IL14" s="88">
        <f>'Проверочная  таблица'!PZ14</f>
        <v>2889951.19</v>
      </c>
      <c r="IM14" s="85">
        <f t="shared" si="56"/>
        <v>0</v>
      </c>
      <c r="IN14" s="87"/>
      <c r="IO14" s="86">
        <f>'Федеральные  средства  по  МО'!BO15</f>
        <v>0</v>
      </c>
      <c r="IP14" s="88">
        <f>'Проверочная  таблица'!QE14</f>
        <v>0</v>
      </c>
      <c r="IQ14" s="85">
        <f t="shared" si="57"/>
        <v>0</v>
      </c>
      <c r="IR14" s="87"/>
      <c r="IS14" s="88">
        <f>'Федеральные  средства  по  МО'!BR15</f>
        <v>0</v>
      </c>
      <c r="IT14" s="85">
        <f t="shared" si="58"/>
        <v>0</v>
      </c>
      <c r="IU14" s="86"/>
      <c r="IV14" s="85"/>
      <c r="IW14" s="87">
        <f>'Федеральные  средства  по  МО'!BS15</f>
        <v>0</v>
      </c>
      <c r="IX14" s="87">
        <f t="shared" si="59"/>
        <v>0</v>
      </c>
      <c r="IY14" s="87"/>
      <c r="IZ14" s="85"/>
      <c r="JA14" s="88">
        <f>'Федеральные  средства  по  МО'!BT15</f>
        <v>0</v>
      </c>
      <c r="JB14" s="85">
        <f>'Проверочная  таблица'!RN14</f>
        <v>0</v>
      </c>
      <c r="JC14" s="86">
        <f>'Проверочная  таблица'!RT14</f>
        <v>0</v>
      </c>
      <c r="JD14" s="85">
        <f>'Проверочная  таблица'!RZ14</f>
        <v>0</v>
      </c>
      <c r="JE14" s="86">
        <f>'Федеральные  средства  по  МО'!BU15</f>
        <v>0</v>
      </c>
      <c r="JF14" s="85">
        <f>'Проверочная  таблица'!RK14</f>
        <v>0</v>
      </c>
      <c r="JG14" s="86">
        <f>'Проверочная  таблица'!RW14</f>
        <v>0</v>
      </c>
      <c r="JH14" s="88">
        <f>'Проверочная  таблица'!SC14</f>
        <v>0</v>
      </c>
      <c r="JI14" s="85">
        <f>'Федеральные  средства  по  МО'!BV15</f>
        <v>0</v>
      </c>
      <c r="JJ14" s="85">
        <f t="shared" si="60"/>
        <v>0</v>
      </c>
      <c r="JK14" s="86"/>
      <c r="JL14" s="85"/>
      <c r="JM14" s="87">
        <f>'Федеральные  средства  по  МО'!BW15</f>
        <v>0</v>
      </c>
      <c r="JN14" s="87">
        <f t="shared" si="61"/>
        <v>0</v>
      </c>
      <c r="JO14" s="86"/>
      <c r="JP14" s="88"/>
      <c r="JQ14" s="88">
        <f>'Федеральные  средства  по  МО'!BX15</f>
        <v>0</v>
      </c>
      <c r="JR14" s="85">
        <f t="shared" si="62"/>
        <v>0</v>
      </c>
      <c r="JS14" s="86"/>
      <c r="JT14" s="85"/>
      <c r="JU14" s="87">
        <f>'Федеральные  средства  по  МО'!BY15</f>
        <v>0</v>
      </c>
      <c r="JV14" s="85">
        <f t="shared" si="63"/>
        <v>0</v>
      </c>
      <c r="JW14" s="86"/>
      <c r="JX14" s="85"/>
      <c r="JY14" s="88">
        <f>'Федеральные  средства  по  МО'!BZ15</f>
        <v>0</v>
      </c>
      <c r="JZ14" s="85">
        <f t="shared" si="64"/>
        <v>0</v>
      </c>
      <c r="KA14" s="86"/>
      <c r="KB14" s="85"/>
      <c r="KC14" s="86">
        <f>'Федеральные  средства  по  МО'!CA15</f>
        <v>0</v>
      </c>
      <c r="KD14" s="85">
        <f t="shared" si="65"/>
        <v>0</v>
      </c>
      <c r="KE14" s="86"/>
      <c r="KF14" s="85"/>
      <c r="KG14" s="86">
        <f>'Федеральные  средства  по  МО'!CB15</f>
        <v>110880741.45</v>
      </c>
      <c r="KH14" s="88">
        <f>'Проверочная  таблица'!SZ14</f>
        <v>110880741.45</v>
      </c>
      <c r="KI14" s="85">
        <f>'Проверочная  таблица'!UB14</f>
        <v>0</v>
      </c>
      <c r="KJ14" s="86">
        <f>'Проверочная  таблица'!UP14</f>
        <v>0</v>
      </c>
      <c r="KK14" s="85">
        <f>'Федеральные  средства  по  МО'!CC15</f>
        <v>8588685.3199999966</v>
      </c>
      <c r="KL14" s="86">
        <f>'Проверочная  таблица'!TG14</f>
        <v>8588685.3199999966</v>
      </c>
      <c r="KM14" s="85">
        <f>'Проверочная  таблица'!UI14</f>
        <v>0</v>
      </c>
      <c r="KN14" s="87">
        <f>'Проверочная  таблица'!UW14</f>
        <v>0</v>
      </c>
      <c r="KO14" s="86">
        <f>'Федеральные  средства  по  МО'!CD15</f>
        <v>3243333.44</v>
      </c>
      <c r="KP14" s="85">
        <f>'Проверочная  таблица'!TB14</f>
        <v>0</v>
      </c>
      <c r="KQ14" s="86">
        <f t="shared" si="66"/>
        <v>3243333.44</v>
      </c>
      <c r="KR14" s="85"/>
      <c r="KS14" s="86">
        <f>'Федеральные  средства  по  МО'!CE15</f>
        <v>0</v>
      </c>
      <c r="KT14" s="85">
        <f>'Проверочная  таблица'!TI14</f>
        <v>0</v>
      </c>
      <c r="KU14" s="86">
        <f t="shared" si="67"/>
        <v>0</v>
      </c>
      <c r="KV14" s="88"/>
      <c r="KW14" s="88">
        <f>'Федеральные  средства  по  МО'!CF15+'Федеральные  средства  по  МО'!BP15</f>
        <v>616233700</v>
      </c>
      <c r="KX14" s="88">
        <f>KW14</f>
        <v>616233700</v>
      </c>
      <c r="KY14" s="85">
        <f>'Проверочная  таблица'!UF14</f>
        <v>0</v>
      </c>
      <c r="KZ14" s="87"/>
      <c r="LA14" s="86">
        <f>'Федеральные  средства  по  МО'!CG15+'Федеральные  средства  по  МО'!BQ15</f>
        <v>263895715.19999999</v>
      </c>
      <c r="LB14" s="88">
        <f>LA14</f>
        <v>263895715.19999999</v>
      </c>
      <c r="LC14" s="85">
        <f>'Проверочная  таблица'!TY14</f>
        <v>0</v>
      </c>
      <c r="LD14" s="85"/>
    </row>
    <row r="15" spans="1:316" ht="25.5" customHeight="1" x14ac:dyDescent="0.25">
      <c r="A15" s="70" t="s">
        <v>323</v>
      </c>
      <c r="B15" s="71">
        <f t="shared" si="14"/>
        <v>2300294.330000001</v>
      </c>
      <c r="C15" s="72">
        <f t="shared" si="15"/>
        <v>127598.03000000119</v>
      </c>
      <c r="D15" s="72">
        <f t="shared" si="16"/>
        <v>2111219.2999999998</v>
      </c>
      <c r="E15" s="72">
        <f t="shared" si="17"/>
        <v>61477</v>
      </c>
      <c r="F15" s="71">
        <f t="shared" si="18"/>
        <v>374388.32</v>
      </c>
      <c r="G15" s="72">
        <f t="shared" si="19"/>
        <v>61477</v>
      </c>
      <c r="H15" s="72">
        <f t="shared" si="1"/>
        <v>312911.32</v>
      </c>
      <c r="I15" s="72">
        <f t="shared" si="2"/>
        <v>0</v>
      </c>
      <c r="J15" s="54"/>
      <c r="K15" s="55">
        <f>M15-'Федеральные  средства  по  МО'!N16-'Федеральные  средства  по  МО'!D16</f>
        <v>0</v>
      </c>
      <c r="L15" s="55">
        <f>Q15-'Федеральные  средства  по  МО'!O16-'Федеральные  средства  по  МО'!E16</f>
        <v>0</v>
      </c>
      <c r="M15" s="1083">
        <f t="shared" si="20"/>
        <v>58831639.090000004</v>
      </c>
      <c r="N15" s="72">
        <f t="shared" si="21"/>
        <v>46765613.770000003</v>
      </c>
      <c r="O15" s="72">
        <f t="shared" si="22"/>
        <v>2111219.2999999998</v>
      </c>
      <c r="P15" s="72">
        <f t="shared" si="23"/>
        <v>61477</v>
      </c>
      <c r="Q15" s="1083">
        <f t="shared" si="24"/>
        <v>374388.32</v>
      </c>
      <c r="R15" s="72">
        <f t="shared" si="25"/>
        <v>61477</v>
      </c>
      <c r="S15" s="72">
        <f t="shared" si="26"/>
        <v>312911.32</v>
      </c>
      <c r="T15" s="72">
        <f t="shared" si="27"/>
        <v>0</v>
      </c>
      <c r="U15" s="73">
        <f>'Федеральные  средства  по  МО'!F16</f>
        <v>0</v>
      </c>
      <c r="V15" s="69">
        <f>'Проверочная  таблица'!BT20</f>
        <v>0</v>
      </c>
      <c r="W15" s="74">
        <f>'Проверочная  таблица'!BX20</f>
        <v>0</v>
      </c>
      <c r="X15" s="69">
        <f>'Проверочная  таблица'!BZ20</f>
        <v>0</v>
      </c>
      <c r="Y15" s="73">
        <f>'Федеральные  средства  по  МО'!G16</f>
        <v>0</v>
      </c>
      <c r="Z15" s="69">
        <f>'Проверочная  таблица'!BU20</f>
        <v>0</v>
      </c>
      <c r="AA15" s="74">
        <f>'Проверочная  таблица'!BY20</f>
        <v>0</v>
      </c>
      <c r="AB15" s="69">
        <f>'Проверочная  таблица'!CA20</f>
        <v>0</v>
      </c>
      <c r="AC15" s="1043">
        <f>'Федеральные  средства  по  МО'!H16</f>
        <v>46638015.740000002</v>
      </c>
      <c r="AD15" s="75">
        <f t="shared" si="28"/>
        <v>46638015.740000002</v>
      </c>
      <c r="AE15" s="69"/>
      <c r="AF15" s="76"/>
      <c r="AG15" s="1043">
        <f>'Федеральные  средства  по  МО'!I16</f>
        <v>0</v>
      </c>
      <c r="AH15" s="75">
        <f t="shared" si="29"/>
        <v>0</v>
      </c>
      <c r="AI15" s="69"/>
      <c r="AJ15" s="74"/>
      <c r="AK15" s="73">
        <f>'Федеральные  средства  по  МО'!J16</f>
        <v>0</v>
      </c>
      <c r="AL15" s="75">
        <f t="shared" si="30"/>
        <v>0</v>
      </c>
      <c r="AM15" s="69"/>
      <c r="AN15" s="76"/>
      <c r="AO15" s="73">
        <f>'Федеральные  средства  по  МО'!K16</f>
        <v>0</v>
      </c>
      <c r="AP15" s="75">
        <f t="shared" si="31"/>
        <v>0</v>
      </c>
      <c r="AQ15" s="69"/>
      <c r="AR15" s="74"/>
      <c r="AS15" s="77">
        <f>'Федеральные  средства  по  МО'!P16</f>
        <v>0</v>
      </c>
      <c r="AT15" s="74">
        <f>'Проверочная  таблица'!CX20</f>
        <v>0</v>
      </c>
      <c r="AU15" s="69"/>
      <c r="AV15" s="76"/>
      <c r="AW15" s="78">
        <f>'Федеральные  средства  по  МО'!Q16</f>
        <v>0</v>
      </c>
      <c r="AX15" s="74">
        <f>'Проверочная  таблица'!DE20</f>
        <v>0</v>
      </c>
      <c r="AY15" s="75"/>
      <c r="AZ15" s="69"/>
      <c r="BA15" s="78">
        <f>'Федеральные  средства  по  МО'!R16</f>
        <v>0</v>
      </c>
      <c r="BB15" s="74">
        <f>'Проверочная  таблица'!CZ20</f>
        <v>0</v>
      </c>
      <c r="BC15" s="69"/>
      <c r="BD15" s="74">
        <f>'Проверочная  таблица'!DL20</f>
        <v>0</v>
      </c>
      <c r="BE15" s="77">
        <f>'Федеральные  средства  по  МО'!S16</f>
        <v>0</v>
      </c>
      <c r="BF15" s="74">
        <f>'Проверочная  таблица'!DG20</f>
        <v>0</v>
      </c>
      <c r="BG15" s="69"/>
      <c r="BH15" s="74">
        <f>'Проверочная  таблица'!DO20</f>
        <v>0</v>
      </c>
      <c r="BI15" s="77">
        <f>'Федеральные  средства  по  МО'!T16</f>
        <v>0</v>
      </c>
      <c r="BJ15" s="74">
        <f t="shared" si="32"/>
        <v>0</v>
      </c>
      <c r="BK15" s="69"/>
      <c r="BL15" s="74"/>
      <c r="BM15" s="79">
        <f>'Федеральные  средства  по  МО'!U16</f>
        <v>0</v>
      </c>
      <c r="BN15" s="74">
        <f t="shared" si="33"/>
        <v>0</v>
      </c>
      <c r="BO15" s="75"/>
      <c r="BP15" s="75"/>
      <c r="BQ15" s="73">
        <f>'Федеральные  средства  по  МО'!V16</f>
        <v>0</v>
      </c>
      <c r="BR15" s="75">
        <f t="shared" si="4"/>
        <v>0</v>
      </c>
      <c r="BS15" s="74"/>
      <c r="BT15" s="69"/>
      <c r="BU15" s="73">
        <f>'Федеральные  средства  по  МО'!W16</f>
        <v>0</v>
      </c>
      <c r="BV15" s="75">
        <f t="shared" si="5"/>
        <v>0</v>
      </c>
      <c r="BW15" s="74"/>
      <c r="BX15" s="69"/>
      <c r="BY15" s="73">
        <f>'Федеральные  средства  по  МО'!X16</f>
        <v>0</v>
      </c>
      <c r="BZ15" s="75">
        <f t="shared" si="6"/>
        <v>0</v>
      </c>
      <c r="CA15" s="74"/>
      <c r="CB15" s="69"/>
      <c r="CC15" s="73">
        <f>'Федеральные  средства  по  МО'!Y16</f>
        <v>0</v>
      </c>
      <c r="CD15" s="75">
        <f t="shared" si="7"/>
        <v>0</v>
      </c>
      <c r="CE15" s="74"/>
      <c r="CF15" s="69"/>
      <c r="CG15" s="73">
        <f>'Федеральные  средства  по  МО'!Z16</f>
        <v>0</v>
      </c>
      <c r="CH15" s="75">
        <f t="shared" si="8"/>
        <v>0</v>
      </c>
      <c r="CI15" s="69"/>
      <c r="CJ15" s="76"/>
      <c r="CK15" s="73">
        <f>'Федеральные  средства  по  МО'!AA16</f>
        <v>0</v>
      </c>
      <c r="CL15" s="75">
        <f t="shared" si="9"/>
        <v>0</v>
      </c>
      <c r="CM15" s="74"/>
      <c r="CN15" s="75"/>
      <c r="CO15" s="78">
        <f>'Федеральные  средства  по  МО'!AB16</f>
        <v>0</v>
      </c>
      <c r="CP15" s="74">
        <f t="shared" si="34"/>
        <v>0</v>
      </c>
      <c r="CQ15" s="69"/>
      <c r="CR15" s="74"/>
      <c r="CS15" s="77">
        <f>'Федеральные  средства  по  МО'!AC16</f>
        <v>0</v>
      </c>
      <c r="CT15" s="74">
        <f t="shared" si="35"/>
        <v>0</v>
      </c>
      <c r="CU15" s="69"/>
      <c r="CV15" s="74"/>
      <c r="CW15" s="78">
        <f>'Федеральные  средства  по  МО'!AD16</f>
        <v>312911.32</v>
      </c>
      <c r="CX15" s="76">
        <f>'Проверочная  таблица'!FD20</f>
        <v>0</v>
      </c>
      <c r="CY15" s="74">
        <f t="shared" si="36"/>
        <v>312911.32</v>
      </c>
      <c r="CZ15" s="75"/>
      <c r="DA15" s="77">
        <f>'Федеральные  средства  по  МО'!AE16</f>
        <v>312911.32</v>
      </c>
      <c r="DB15" s="76">
        <f>'Проверочная  таблица'!FG20</f>
        <v>0</v>
      </c>
      <c r="DC15" s="74">
        <f t="shared" si="37"/>
        <v>312911.32</v>
      </c>
      <c r="DD15" s="69"/>
      <c r="DE15" s="73">
        <f>'Федеральные  средства  по  МО'!AF16</f>
        <v>0</v>
      </c>
      <c r="DF15" s="75">
        <f t="shared" si="38"/>
        <v>0</v>
      </c>
      <c r="DG15" s="69"/>
      <c r="DH15" s="76"/>
      <c r="DI15" s="73">
        <f>'Федеральные  средства  по  МО'!AG16</f>
        <v>0</v>
      </c>
      <c r="DJ15" s="75">
        <f t="shared" si="39"/>
        <v>0</v>
      </c>
      <c r="DK15" s="69"/>
      <c r="DL15" s="76"/>
      <c r="DM15" s="73">
        <f>'Федеральные  средства  по  МО'!AH16</f>
        <v>0</v>
      </c>
      <c r="DN15" s="75">
        <f t="shared" si="40"/>
        <v>0</v>
      </c>
      <c r="DO15" s="69"/>
      <c r="DP15" s="76"/>
      <c r="DQ15" s="73">
        <f>'Федеральные  средства  по  МО'!AI16</f>
        <v>0</v>
      </c>
      <c r="DR15" s="75">
        <f t="shared" si="41"/>
        <v>0</v>
      </c>
      <c r="DS15" s="69"/>
      <c r="DT15" s="74"/>
      <c r="DU15" s="78">
        <f>'Федеральные  средства  по  МО'!AJ16</f>
        <v>0</v>
      </c>
      <c r="DV15" s="74">
        <f t="shared" si="42"/>
        <v>0</v>
      </c>
      <c r="DW15" s="69"/>
      <c r="DX15" s="74"/>
      <c r="DY15" s="77">
        <f>'Федеральные  средства  по  МО'!AK16</f>
        <v>0</v>
      </c>
      <c r="DZ15" s="74">
        <f t="shared" si="43"/>
        <v>0</v>
      </c>
      <c r="EA15" s="69"/>
      <c r="EB15" s="76"/>
      <c r="EC15" s="73">
        <f>'Федеральные  средства  по  МО'!AL16</f>
        <v>0</v>
      </c>
      <c r="ED15" s="69">
        <f t="shared" si="10"/>
        <v>0</v>
      </c>
      <c r="EE15" s="74"/>
      <c r="EF15" s="69"/>
      <c r="EG15" s="73">
        <f>'Федеральные  средства  по  МО'!AM16</f>
        <v>0</v>
      </c>
      <c r="EH15" s="69">
        <f t="shared" si="11"/>
        <v>0</v>
      </c>
      <c r="EI15" s="74"/>
      <c r="EJ15" s="69"/>
      <c r="EK15" s="78">
        <f>'Федеральные  средства  по  МО'!AN16</f>
        <v>0</v>
      </c>
      <c r="EL15" s="74"/>
      <c r="EM15" s="69"/>
      <c r="EN15" s="74">
        <f t="shared" si="44"/>
        <v>0</v>
      </c>
      <c r="EO15" s="77">
        <f>'Федеральные  средства  по  МО'!AO16</f>
        <v>0</v>
      </c>
      <c r="EP15" s="74"/>
      <c r="EQ15" s="69"/>
      <c r="ER15" s="76">
        <f t="shared" si="45"/>
        <v>0</v>
      </c>
      <c r="ES15" s="1055">
        <f>'Федеральные  средства  по  МО'!AP16</f>
        <v>0</v>
      </c>
      <c r="ET15" s="74">
        <f>'Проверочная  таблица'!IR20</f>
        <v>0</v>
      </c>
      <c r="EU15" s="69">
        <f>'Проверочная  таблица'!JB20</f>
        <v>0</v>
      </c>
      <c r="EV15" s="74">
        <f>'Проверочная  таблица'!JD20</f>
        <v>0</v>
      </c>
      <c r="EW15" s="1057">
        <f>'Федеральные  средства  по  МО'!AQ16</f>
        <v>0</v>
      </c>
      <c r="EX15" s="74">
        <f>'Проверочная  таблица'!IU20</f>
        <v>0</v>
      </c>
      <c r="EY15" s="69">
        <f>'Проверочная  таблица'!JC20</f>
        <v>0</v>
      </c>
      <c r="EZ15" s="74">
        <f>'Проверочная  таблица'!JE20</f>
        <v>0</v>
      </c>
      <c r="FA15" s="79">
        <f>'Федеральные  средства  по  МО'!AR16</f>
        <v>0</v>
      </c>
      <c r="FB15" s="75"/>
      <c r="FC15" s="69"/>
      <c r="FD15" s="76"/>
      <c r="FE15" s="73">
        <f>'Федеральные  средства  по  МО'!AS16</f>
        <v>0</v>
      </c>
      <c r="FF15" s="75"/>
      <c r="FG15" s="69"/>
      <c r="FH15" s="74"/>
      <c r="FI15" s="79">
        <f>'Федеральные  средства  по  МО'!AT16</f>
        <v>0</v>
      </c>
      <c r="FJ15" s="75"/>
      <c r="FK15" s="69"/>
      <c r="FL15" s="76"/>
      <c r="FM15" s="73">
        <f>'Федеральные  средства  по  МО'!AU16</f>
        <v>0</v>
      </c>
      <c r="FN15" s="69"/>
      <c r="FO15" s="74"/>
      <c r="FP15" s="69"/>
      <c r="FQ15" s="78">
        <f>'Федеральные  средства  по  МО'!AV16</f>
        <v>0</v>
      </c>
      <c r="FR15" s="76">
        <f>'Проверочная  таблица'!JT20</f>
        <v>0</v>
      </c>
      <c r="FS15" s="74">
        <f>'Проверочная  таблица'!KF20</f>
        <v>-61477</v>
      </c>
      <c r="FT15" s="74">
        <f>'Проверочная  таблица'!KL20</f>
        <v>61477</v>
      </c>
      <c r="FU15" s="77">
        <f>'Федеральные  средства  по  МО'!AW16</f>
        <v>0</v>
      </c>
      <c r="FV15" s="74">
        <f>'Проверочная  таблица'!JW20</f>
        <v>0</v>
      </c>
      <c r="FW15" s="69">
        <f>'Проверочная  таблица'!KI20</f>
        <v>0</v>
      </c>
      <c r="FX15" s="74">
        <f>'Проверочная  таблица'!KO20</f>
        <v>0</v>
      </c>
      <c r="FY15" s="78">
        <f>'Федеральные  средства  по  МО'!AX16</f>
        <v>256948.80000000002</v>
      </c>
      <c r="FZ15" s="74"/>
      <c r="GA15" s="69">
        <f t="shared" si="46"/>
        <v>256948.80000000002</v>
      </c>
      <c r="GB15" s="74"/>
      <c r="GC15" s="73">
        <f>'Федеральные  средства  по  МО'!AY16</f>
        <v>0</v>
      </c>
      <c r="GD15" s="69"/>
      <c r="GE15" s="74">
        <f t="shared" si="47"/>
        <v>0</v>
      </c>
      <c r="GF15" s="69"/>
      <c r="GG15" s="73">
        <f>'Федеральные  средства  по  МО'!AZ16</f>
        <v>66121.03</v>
      </c>
      <c r="GH15" s="75">
        <f t="shared" si="48"/>
        <v>66121.03</v>
      </c>
      <c r="GI15" s="69"/>
      <c r="GJ15" s="76"/>
      <c r="GK15" s="73">
        <f>'Федеральные  средства  по  МО'!BA16</f>
        <v>0</v>
      </c>
      <c r="GL15" s="75">
        <f t="shared" si="49"/>
        <v>0</v>
      </c>
      <c r="GM15" s="69"/>
      <c r="GN15" s="74"/>
      <c r="GO15" s="79">
        <f>'Федеральные  средства  по  МО'!BB16</f>
        <v>0</v>
      </c>
      <c r="GP15" s="69"/>
      <c r="GQ15" s="76">
        <f>'Проверочная  таблица'!MO20</f>
        <v>0</v>
      </c>
      <c r="GR15" s="74">
        <f>'Проверочная  таблица'!MW20</f>
        <v>0</v>
      </c>
      <c r="GS15" s="77">
        <f>'Федеральные  средства  по  МО'!BC16</f>
        <v>0</v>
      </c>
      <c r="GT15" s="76"/>
      <c r="GU15" s="74">
        <f>'Проверочная  таблица'!MS20</f>
        <v>0</v>
      </c>
      <c r="GV15" s="75">
        <f>'Проверочная  таблица'!NA20</f>
        <v>0</v>
      </c>
      <c r="GW15" s="77">
        <f>'Федеральные  средства  по  МО'!BD16</f>
        <v>0</v>
      </c>
      <c r="GX15" s="74">
        <f t="shared" si="50"/>
        <v>0</v>
      </c>
      <c r="GY15" s="69"/>
      <c r="GZ15" s="76"/>
      <c r="HA15" s="73">
        <f>'Федеральные  средства  по  МО'!BE16</f>
        <v>0</v>
      </c>
      <c r="HB15" s="74">
        <f t="shared" si="51"/>
        <v>0</v>
      </c>
      <c r="HC15" s="75"/>
      <c r="HD15" s="69"/>
      <c r="HE15" s="73">
        <f>'Федеральные  средства  по  МО'!BF16</f>
        <v>0</v>
      </c>
      <c r="HF15" s="76">
        <f t="shared" si="52"/>
        <v>0</v>
      </c>
      <c r="HG15" s="74"/>
      <c r="HH15" s="75"/>
      <c r="HI15" s="79">
        <f>'Федеральные  средства  по  МО'!BG16</f>
        <v>0</v>
      </c>
      <c r="HJ15" s="76">
        <f t="shared" si="12"/>
        <v>0</v>
      </c>
      <c r="HK15" s="74"/>
      <c r="HL15" s="75"/>
      <c r="HM15" s="78">
        <f>'Федеральные  средства  по  МО'!BH16</f>
        <v>61477</v>
      </c>
      <c r="HN15" s="76">
        <f t="shared" si="53"/>
        <v>61477</v>
      </c>
      <c r="HO15" s="74"/>
      <c r="HP15" s="75">
        <f>'Проверочная  таблица'!OF20</f>
        <v>0</v>
      </c>
      <c r="HQ15" s="79">
        <f>'Федеральные  средства  по  МО'!BI16</f>
        <v>61477</v>
      </c>
      <c r="HR15" s="76">
        <f t="shared" si="54"/>
        <v>61477</v>
      </c>
      <c r="HS15" s="76"/>
      <c r="HT15" s="74">
        <f>'Проверочная  таблица'!OI20</f>
        <v>0</v>
      </c>
      <c r="HU15" s="79">
        <f>'Федеральные  средства  по  МО'!BJ16</f>
        <v>0</v>
      </c>
      <c r="HV15" s="75">
        <f t="shared" si="55"/>
        <v>0</v>
      </c>
      <c r="HW15" s="69"/>
      <c r="HX15" s="76"/>
      <c r="HY15" s="73">
        <f>'Федеральные  средства  по  МО'!BK16</f>
        <v>0</v>
      </c>
      <c r="HZ15" s="75">
        <f t="shared" si="13"/>
        <v>0</v>
      </c>
      <c r="IA15" s="69"/>
      <c r="IB15" s="74"/>
      <c r="IC15" s="78">
        <f>'Федеральные  средства  по  МО'!BL16</f>
        <v>9893329.0199999996</v>
      </c>
      <c r="ID15" s="76"/>
      <c r="IE15" s="74"/>
      <c r="IF15" s="75">
        <f>'Проверочная  таблица'!PR20</f>
        <v>0</v>
      </c>
      <c r="IG15" s="77">
        <f>'Федеральные  средства  по  МО'!BM16</f>
        <v>0</v>
      </c>
      <c r="IH15" s="76"/>
      <c r="II15" s="74"/>
      <c r="IJ15" s="75">
        <f>'Проверочная  таблица'!PV20</f>
        <v>0</v>
      </c>
      <c r="IK15" s="78">
        <f>'Федеральные  средства  по  МО'!BN16</f>
        <v>1602836.18</v>
      </c>
      <c r="IL15" s="76">
        <f>'Проверочная  таблица'!PZ20</f>
        <v>0</v>
      </c>
      <c r="IM15" s="74">
        <f t="shared" si="56"/>
        <v>1602836.18</v>
      </c>
      <c r="IN15" s="75"/>
      <c r="IO15" s="77">
        <f>'Федеральные  средства  по  МО'!BO16</f>
        <v>0</v>
      </c>
      <c r="IP15" s="76">
        <f>'Проверочная  таблица'!QE20</f>
        <v>0</v>
      </c>
      <c r="IQ15" s="74">
        <f t="shared" si="57"/>
        <v>0</v>
      </c>
      <c r="IR15" s="75"/>
      <c r="IS15" s="78">
        <f>'Федеральные  средства  по  МО'!BR16</f>
        <v>0</v>
      </c>
      <c r="IT15" s="74">
        <f t="shared" si="58"/>
        <v>0</v>
      </c>
      <c r="IU15" s="69"/>
      <c r="IV15" s="74"/>
      <c r="IW15" s="79">
        <f>'Федеральные  средства  по  МО'!BS16</f>
        <v>0</v>
      </c>
      <c r="IX15" s="75">
        <f t="shared" si="59"/>
        <v>0</v>
      </c>
      <c r="IY15" s="75"/>
      <c r="IZ15" s="74"/>
      <c r="JA15" s="78">
        <f>'Федеральные  средства  по  МО'!BT16</f>
        <v>0</v>
      </c>
      <c r="JB15" s="74">
        <f>'Проверочная  таблица'!RN20</f>
        <v>0</v>
      </c>
      <c r="JC15" s="69">
        <f>'Проверочная  таблица'!RT20</f>
        <v>0</v>
      </c>
      <c r="JD15" s="74">
        <f>'Проверочная  таблица'!RZ20</f>
        <v>0</v>
      </c>
      <c r="JE15" s="77">
        <f>'Федеральные  средства  по  МО'!BU16</f>
        <v>0</v>
      </c>
      <c r="JF15" s="74">
        <f>'Проверочная  таблица'!RK20</f>
        <v>0</v>
      </c>
      <c r="JG15" s="69">
        <f>'Проверочная  таблица'!RW20</f>
        <v>0</v>
      </c>
      <c r="JH15" s="76">
        <f>'Проверочная  таблица'!SC20</f>
        <v>0</v>
      </c>
      <c r="JI15" s="73">
        <f>'Федеральные  средства  по  МО'!BV16</f>
        <v>0</v>
      </c>
      <c r="JJ15" s="74">
        <f t="shared" si="60"/>
        <v>0</v>
      </c>
      <c r="JK15" s="69"/>
      <c r="JL15" s="74"/>
      <c r="JM15" s="79">
        <f>'Федеральные  средства  по  МО'!BW16</f>
        <v>0</v>
      </c>
      <c r="JN15" s="75">
        <f t="shared" si="61"/>
        <v>0</v>
      </c>
      <c r="JO15" s="69"/>
      <c r="JP15" s="76"/>
      <c r="JQ15" s="78">
        <f>'Федеральные  средства  по  МО'!BX16</f>
        <v>0</v>
      </c>
      <c r="JR15" s="74">
        <f t="shared" si="62"/>
        <v>0</v>
      </c>
      <c r="JS15" s="69"/>
      <c r="JT15" s="74"/>
      <c r="JU15" s="79">
        <f>'Федеральные  средства  по  МО'!BY16</f>
        <v>0</v>
      </c>
      <c r="JV15" s="74">
        <f t="shared" si="63"/>
        <v>0</v>
      </c>
      <c r="JW15" s="69"/>
      <c r="JX15" s="74"/>
      <c r="JY15" s="78">
        <f>'Федеральные  средства  по  МО'!BZ16</f>
        <v>0</v>
      </c>
      <c r="JZ15" s="74">
        <f t="shared" si="64"/>
        <v>0</v>
      </c>
      <c r="KA15" s="69"/>
      <c r="KB15" s="74"/>
      <c r="KC15" s="77">
        <f>'Федеральные  средства  по  МО'!CA16</f>
        <v>0</v>
      </c>
      <c r="KD15" s="74">
        <f t="shared" si="65"/>
        <v>0</v>
      </c>
      <c r="KE15" s="69"/>
      <c r="KF15" s="74"/>
      <c r="KG15" s="77">
        <f>'Федеральные  средства  по  МО'!CB16</f>
        <v>0</v>
      </c>
      <c r="KH15" s="76">
        <f>'Проверочная  таблица'!SZ20</f>
        <v>0</v>
      </c>
      <c r="KI15" s="74">
        <f>'Проверочная  таблица'!UB20</f>
        <v>0</v>
      </c>
      <c r="KJ15" s="69">
        <f>'Проверочная  таблица'!UP20</f>
        <v>0</v>
      </c>
      <c r="KK15" s="1043">
        <f>'Федеральные  средства  по  МО'!CC16</f>
        <v>0</v>
      </c>
      <c r="KL15" s="69">
        <f>'Проверочная  таблица'!TG20</f>
        <v>0</v>
      </c>
      <c r="KM15" s="74">
        <f>'Проверочная  таблица'!UI20</f>
        <v>0</v>
      </c>
      <c r="KN15" s="75">
        <f>'Проверочная  таблица'!UW20</f>
        <v>0</v>
      </c>
      <c r="KO15" s="77">
        <f>'Федеральные  средства  по  МО'!CD16</f>
        <v>0</v>
      </c>
      <c r="KP15" s="74">
        <f>'Проверочная  таблица'!TB20</f>
        <v>0</v>
      </c>
      <c r="KQ15" s="69">
        <f t="shared" si="66"/>
        <v>0</v>
      </c>
      <c r="KR15" s="74"/>
      <c r="KS15" s="77">
        <f>'Федеральные  средства  по  МО'!CE16</f>
        <v>0</v>
      </c>
      <c r="KT15" s="74">
        <f>'Проверочная  таблица'!TI20</f>
        <v>0</v>
      </c>
      <c r="KU15" s="69">
        <f t="shared" si="67"/>
        <v>0</v>
      </c>
      <c r="KV15" s="76"/>
      <c r="KW15" s="78">
        <f>'Федеральные  средства  по  МО'!CF16</f>
        <v>0</v>
      </c>
      <c r="KX15" s="76">
        <f>'Проверочная  таблица'!TD20</f>
        <v>0</v>
      </c>
      <c r="KY15" s="74">
        <f>'Проверочная  таблица'!UF20</f>
        <v>0</v>
      </c>
      <c r="KZ15" s="75"/>
      <c r="LA15" s="77">
        <f>'Федеральные  средства  по  МО'!CG16</f>
        <v>0</v>
      </c>
      <c r="LB15" s="76">
        <f>'Проверочная  таблица'!TK20</f>
        <v>0</v>
      </c>
      <c r="LC15" s="74">
        <f>'Проверочная  таблица'!TY20</f>
        <v>0</v>
      </c>
      <c r="LD15" s="74"/>
    </row>
    <row r="16" spans="1:316" ht="25.5" customHeight="1" x14ac:dyDescent="0.25">
      <c r="A16" s="54" t="s">
        <v>324</v>
      </c>
      <c r="B16" s="71">
        <f t="shared" si="14"/>
        <v>1184789.98</v>
      </c>
      <c r="C16" s="72">
        <f t="shared" si="15"/>
        <v>202613.16</v>
      </c>
      <c r="D16" s="72">
        <f t="shared" si="16"/>
        <v>865363.8</v>
      </c>
      <c r="E16" s="72">
        <f t="shared" si="17"/>
        <v>116813.02</v>
      </c>
      <c r="F16" s="71">
        <f t="shared" si="18"/>
        <v>0</v>
      </c>
      <c r="G16" s="72">
        <f t="shared" si="19"/>
        <v>0</v>
      </c>
      <c r="H16" s="72">
        <f t="shared" si="1"/>
        <v>0</v>
      </c>
      <c r="I16" s="72">
        <f t="shared" si="2"/>
        <v>0</v>
      </c>
      <c r="J16" s="54"/>
      <c r="K16" s="55">
        <f>M16-'Федеральные  средства  по  МО'!N17-'Федеральные  средства  по  МО'!D17</f>
        <v>0</v>
      </c>
      <c r="L16" s="55">
        <f>Q16-'Федеральные  средства  по  МО'!O17-'Федеральные  средства  по  МО'!E17</f>
        <v>0</v>
      </c>
      <c r="M16" s="1083">
        <f t="shared" si="20"/>
        <v>19689599.449999999</v>
      </c>
      <c r="N16" s="72">
        <f t="shared" si="21"/>
        <v>202613.16</v>
      </c>
      <c r="O16" s="72">
        <f t="shared" si="22"/>
        <v>865363.8</v>
      </c>
      <c r="P16" s="72">
        <f t="shared" si="23"/>
        <v>116813.02</v>
      </c>
      <c r="Q16" s="1083">
        <f t="shared" si="24"/>
        <v>0</v>
      </c>
      <c r="R16" s="72">
        <f t="shared" si="25"/>
        <v>0</v>
      </c>
      <c r="S16" s="72">
        <f t="shared" si="26"/>
        <v>0</v>
      </c>
      <c r="T16" s="72">
        <f t="shared" si="27"/>
        <v>0</v>
      </c>
      <c r="U16" s="73">
        <f>'Федеральные  средства  по  МО'!F17</f>
        <v>0</v>
      </c>
      <c r="V16" s="69">
        <f>'Проверочная  таблица'!BT21</f>
        <v>0</v>
      </c>
      <c r="W16" s="74">
        <f>'Проверочная  таблица'!BX21</f>
        <v>0</v>
      </c>
      <c r="X16" s="69">
        <f>'Проверочная  таблица'!BZ21</f>
        <v>0</v>
      </c>
      <c r="Y16" s="73">
        <f>'Федеральные  средства  по  МО'!G17</f>
        <v>0</v>
      </c>
      <c r="Z16" s="69">
        <f>'Проверочная  таблица'!BU21</f>
        <v>0</v>
      </c>
      <c r="AA16" s="74">
        <f>'Проверочная  таблица'!BY21</f>
        <v>0</v>
      </c>
      <c r="AB16" s="69">
        <f>'Проверочная  таблица'!CA21</f>
        <v>0</v>
      </c>
      <c r="AC16" s="1043">
        <f>'Федеральные  средства  по  МО'!H17</f>
        <v>0</v>
      </c>
      <c r="AD16" s="75">
        <f t="shared" si="28"/>
        <v>0</v>
      </c>
      <c r="AE16" s="69"/>
      <c r="AF16" s="76"/>
      <c r="AG16" s="1043">
        <f>'Федеральные  средства  по  МО'!I17</f>
        <v>0</v>
      </c>
      <c r="AH16" s="75">
        <f t="shared" si="29"/>
        <v>0</v>
      </c>
      <c r="AI16" s="69"/>
      <c r="AJ16" s="74"/>
      <c r="AK16" s="73">
        <f>'Федеральные  средства  по  МО'!J17</f>
        <v>0</v>
      </c>
      <c r="AL16" s="75">
        <f t="shared" si="30"/>
        <v>0</v>
      </c>
      <c r="AM16" s="69"/>
      <c r="AN16" s="76"/>
      <c r="AO16" s="73">
        <f>'Федеральные  средства  по  МО'!K17</f>
        <v>0</v>
      </c>
      <c r="AP16" s="75">
        <f t="shared" si="31"/>
        <v>0</v>
      </c>
      <c r="AQ16" s="69"/>
      <c r="AR16" s="74"/>
      <c r="AS16" s="77">
        <f>'Федеральные  средства  по  МО'!P17</f>
        <v>0</v>
      </c>
      <c r="AT16" s="74">
        <f>'Проверочная  таблица'!CX21</f>
        <v>0</v>
      </c>
      <c r="AU16" s="80"/>
      <c r="AV16" s="81"/>
      <c r="AW16" s="78">
        <f>'Федеральные  средства  по  МО'!Q17</f>
        <v>0</v>
      </c>
      <c r="AX16" s="74">
        <f>'Проверочная  таблица'!DE21</f>
        <v>0</v>
      </c>
      <c r="AY16" s="82"/>
      <c r="AZ16" s="80"/>
      <c r="BA16" s="78">
        <f>'Федеральные  средства  по  МО'!R17</f>
        <v>0</v>
      </c>
      <c r="BB16" s="74">
        <f>'Проверочная  таблица'!CZ21</f>
        <v>0</v>
      </c>
      <c r="BC16" s="69"/>
      <c r="BD16" s="74">
        <f>'Проверочная  таблица'!DL21</f>
        <v>0</v>
      </c>
      <c r="BE16" s="77">
        <f>'Федеральные  средства  по  МО'!S17</f>
        <v>0</v>
      </c>
      <c r="BF16" s="74">
        <f>'Проверочная  таблица'!DG21</f>
        <v>0</v>
      </c>
      <c r="BG16" s="80"/>
      <c r="BH16" s="74">
        <f>'Проверочная  таблица'!DO21</f>
        <v>0</v>
      </c>
      <c r="BI16" s="77">
        <f>'Федеральные  средства  по  МО'!T17</f>
        <v>0</v>
      </c>
      <c r="BJ16" s="74">
        <f t="shared" si="32"/>
        <v>0</v>
      </c>
      <c r="BK16" s="69"/>
      <c r="BL16" s="74"/>
      <c r="BM16" s="79">
        <f>'Федеральные  средства  по  МО'!U17</f>
        <v>0</v>
      </c>
      <c r="BN16" s="74">
        <f t="shared" si="33"/>
        <v>0</v>
      </c>
      <c r="BO16" s="82"/>
      <c r="BP16" s="82"/>
      <c r="BQ16" s="73">
        <f>'Федеральные  средства  по  МО'!V17</f>
        <v>0</v>
      </c>
      <c r="BR16" s="82">
        <f t="shared" si="4"/>
        <v>0</v>
      </c>
      <c r="BS16" s="83"/>
      <c r="BT16" s="80"/>
      <c r="BU16" s="73">
        <f>'Федеральные  средства  по  МО'!W17</f>
        <v>0</v>
      </c>
      <c r="BV16" s="82">
        <f t="shared" si="5"/>
        <v>0</v>
      </c>
      <c r="BW16" s="83"/>
      <c r="BX16" s="80"/>
      <c r="BY16" s="73">
        <f>'Федеральные  средства  по  МО'!X17</f>
        <v>0</v>
      </c>
      <c r="BZ16" s="82">
        <f t="shared" si="6"/>
        <v>0</v>
      </c>
      <c r="CA16" s="83"/>
      <c r="CB16" s="80"/>
      <c r="CC16" s="73">
        <f>'Федеральные  средства  по  МО'!Y17</f>
        <v>0</v>
      </c>
      <c r="CD16" s="82">
        <f t="shared" si="7"/>
        <v>0</v>
      </c>
      <c r="CE16" s="83"/>
      <c r="CF16" s="80"/>
      <c r="CG16" s="73">
        <f>'Федеральные  средства  по  МО'!Z17</f>
        <v>0</v>
      </c>
      <c r="CH16" s="82">
        <f t="shared" si="8"/>
        <v>0</v>
      </c>
      <c r="CI16" s="80"/>
      <c r="CJ16" s="81"/>
      <c r="CK16" s="73">
        <f>'Федеральные  средства  по  МО'!AA17</f>
        <v>0</v>
      </c>
      <c r="CL16" s="82">
        <f t="shared" si="9"/>
        <v>0</v>
      </c>
      <c r="CM16" s="83"/>
      <c r="CN16" s="82"/>
      <c r="CO16" s="78">
        <f>'Федеральные  средства  по  МО'!AB17</f>
        <v>0</v>
      </c>
      <c r="CP16" s="74">
        <f t="shared" si="34"/>
        <v>0</v>
      </c>
      <c r="CQ16" s="69"/>
      <c r="CR16" s="74"/>
      <c r="CS16" s="77">
        <f>'Федеральные  средства  по  МО'!AC17</f>
        <v>0</v>
      </c>
      <c r="CT16" s="74">
        <f t="shared" si="35"/>
        <v>0</v>
      </c>
      <c r="CU16" s="69"/>
      <c r="CV16" s="74"/>
      <c r="CW16" s="78">
        <f>'Федеральные  средства  по  МО'!AD17</f>
        <v>567893.5</v>
      </c>
      <c r="CX16" s="76">
        <f>'Проверочная  таблица'!FD21</f>
        <v>0</v>
      </c>
      <c r="CY16" s="74">
        <f t="shared" si="36"/>
        <v>567893.5</v>
      </c>
      <c r="CZ16" s="75"/>
      <c r="DA16" s="77">
        <f>'Федеральные  средства  по  МО'!AE17</f>
        <v>0</v>
      </c>
      <c r="DB16" s="76">
        <f>'Проверочная  таблица'!FG21</f>
        <v>0</v>
      </c>
      <c r="DC16" s="74">
        <f t="shared" si="37"/>
        <v>0</v>
      </c>
      <c r="DD16" s="69"/>
      <c r="DE16" s="73">
        <f>'Федеральные  средства  по  МО'!AF17</f>
        <v>0</v>
      </c>
      <c r="DF16" s="75">
        <f t="shared" si="38"/>
        <v>0</v>
      </c>
      <c r="DG16" s="69"/>
      <c r="DH16" s="76"/>
      <c r="DI16" s="73">
        <f>'Федеральные  средства  по  МО'!AG17</f>
        <v>0</v>
      </c>
      <c r="DJ16" s="75">
        <f t="shared" si="39"/>
        <v>0</v>
      </c>
      <c r="DK16" s="69"/>
      <c r="DL16" s="76"/>
      <c r="DM16" s="73">
        <f>'Федеральные  средства  по  МО'!AH17</f>
        <v>0</v>
      </c>
      <c r="DN16" s="75">
        <f t="shared" si="40"/>
        <v>0</v>
      </c>
      <c r="DO16" s="69"/>
      <c r="DP16" s="76"/>
      <c r="DQ16" s="73">
        <f>'Федеральные  средства  по  МО'!AI17</f>
        <v>0</v>
      </c>
      <c r="DR16" s="75">
        <f t="shared" si="41"/>
        <v>0</v>
      </c>
      <c r="DS16" s="69"/>
      <c r="DT16" s="74"/>
      <c r="DU16" s="78">
        <f>'Федеральные  средства  по  МО'!AJ17</f>
        <v>0</v>
      </c>
      <c r="DV16" s="74">
        <f t="shared" si="42"/>
        <v>0</v>
      </c>
      <c r="DW16" s="69"/>
      <c r="DX16" s="74"/>
      <c r="DY16" s="77">
        <f>'Федеральные  средства  по  МО'!AK17</f>
        <v>0</v>
      </c>
      <c r="DZ16" s="74">
        <f t="shared" si="43"/>
        <v>0</v>
      </c>
      <c r="EA16" s="69"/>
      <c r="EB16" s="76"/>
      <c r="EC16" s="73">
        <f>'Федеральные  средства  по  МО'!AL17</f>
        <v>0</v>
      </c>
      <c r="ED16" s="69">
        <f t="shared" si="10"/>
        <v>0</v>
      </c>
      <c r="EE16" s="74"/>
      <c r="EF16" s="69"/>
      <c r="EG16" s="73">
        <f>'Федеральные  средства  по  МО'!AM17</f>
        <v>0</v>
      </c>
      <c r="EH16" s="69">
        <f t="shared" si="11"/>
        <v>0</v>
      </c>
      <c r="EI16" s="74"/>
      <c r="EJ16" s="69"/>
      <c r="EK16" s="78">
        <f>'Федеральные  средства  по  МО'!AN17</f>
        <v>0</v>
      </c>
      <c r="EL16" s="74"/>
      <c r="EM16" s="69"/>
      <c r="EN16" s="74">
        <f t="shared" si="44"/>
        <v>0</v>
      </c>
      <c r="EO16" s="77">
        <f>'Федеральные  средства  по  МО'!AO17</f>
        <v>0</v>
      </c>
      <c r="EP16" s="74"/>
      <c r="EQ16" s="69"/>
      <c r="ER16" s="76">
        <f t="shared" si="45"/>
        <v>0</v>
      </c>
      <c r="ES16" s="1055">
        <f>'Федеральные  средства  по  МО'!AP17</f>
        <v>0</v>
      </c>
      <c r="ET16" s="74">
        <f>'Проверочная  таблица'!IR21</f>
        <v>0</v>
      </c>
      <c r="EU16" s="69">
        <f>'Проверочная  таблица'!JB21</f>
        <v>0</v>
      </c>
      <c r="EV16" s="74">
        <f>'Проверочная  таблица'!JD21</f>
        <v>0</v>
      </c>
      <c r="EW16" s="1057">
        <f>'Федеральные  средства  по  МО'!AQ17</f>
        <v>0</v>
      </c>
      <c r="EX16" s="74">
        <f>'Проверочная  таблица'!IU21</f>
        <v>0</v>
      </c>
      <c r="EY16" s="69">
        <f>'Проверочная  таблица'!JC21</f>
        <v>0</v>
      </c>
      <c r="EZ16" s="74">
        <f>'Проверочная  таблица'!JE21</f>
        <v>0</v>
      </c>
      <c r="FA16" s="79">
        <f>'Федеральные  средства  по  МО'!AR17</f>
        <v>0</v>
      </c>
      <c r="FB16" s="75"/>
      <c r="FC16" s="69"/>
      <c r="FD16" s="76"/>
      <c r="FE16" s="73">
        <f>'Федеральные  средства  по  МО'!AS17</f>
        <v>0</v>
      </c>
      <c r="FF16" s="75"/>
      <c r="FG16" s="69"/>
      <c r="FH16" s="74"/>
      <c r="FI16" s="79">
        <f>'Федеральные  средства  по  МО'!AT17</f>
        <v>0</v>
      </c>
      <c r="FJ16" s="82"/>
      <c r="FK16" s="80"/>
      <c r="FL16" s="81"/>
      <c r="FM16" s="73">
        <f>'Федеральные  средства  по  МО'!AU17</f>
        <v>0</v>
      </c>
      <c r="FN16" s="80"/>
      <c r="FO16" s="83"/>
      <c r="FP16" s="80"/>
      <c r="FQ16" s="78">
        <f>'Федеральные  средства  по  МО'!AV17</f>
        <v>0</v>
      </c>
      <c r="FR16" s="76">
        <f>'Проверочная  таблица'!JT21</f>
        <v>0</v>
      </c>
      <c r="FS16" s="74">
        <f>'Проверочная  таблица'!KF21</f>
        <v>-116813.02</v>
      </c>
      <c r="FT16" s="74">
        <f>'Проверочная  таблица'!KL21</f>
        <v>116813.02</v>
      </c>
      <c r="FU16" s="77">
        <f>'Федеральные  средства  по  МО'!AW17</f>
        <v>0</v>
      </c>
      <c r="FV16" s="74">
        <f>'Проверочная  таблица'!JW21</f>
        <v>0</v>
      </c>
      <c r="FW16" s="69">
        <f>'Проверочная  таблица'!KI21</f>
        <v>0</v>
      </c>
      <c r="FX16" s="74">
        <f>'Проверочная  таблица'!KO21</f>
        <v>0</v>
      </c>
      <c r="FY16" s="78">
        <f>'Федеральные  средства  по  МО'!AX17</f>
        <v>414283.32</v>
      </c>
      <c r="FZ16" s="74"/>
      <c r="GA16" s="69">
        <f t="shared" si="46"/>
        <v>414283.32</v>
      </c>
      <c r="GB16" s="74"/>
      <c r="GC16" s="73">
        <f>'Федеральные  средства  по  МО'!AY17</f>
        <v>0</v>
      </c>
      <c r="GD16" s="69"/>
      <c r="GE16" s="74">
        <f t="shared" si="47"/>
        <v>0</v>
      </c>
      <c r="GF16" s="69"/>
      <c r="GG16" s="73">
        <f>'Федеральные  средства  по  МО'!AZ17</f>
        <v>85800.14</v>
      </c>
      <c r="GH16" s="75">
        <f t="shared" si="48"/>
        <v>85800.14</v>
      </c>
      <c r="GI16" s="69"/>
      <c r="GJ16" s="76"/>
      <c r="GK16" s="73">
        <f>'Федеральные  средства  по  МО'!BA17</f>
        <v>0</v>
      </c>
      <c r="GL16" s="75">
        <f t="shared" si="49"/>
        <v>0</v>
      </c>
      <c r="GM16" s="69"/>
      <c r="GN16" s="74"/>
      <c r="GO16" s="79">
        <f>'Федеральные  средства  по  МО'!BB17</f>
        <v>0</v>
      </c>
      <c r="GP16" s="80"/>
      <c r="GQ16" s="76">
        <f>'Проверочная  таблица'!MO21</f>
        <v>0</v>
      </c>
      <c r="GR16" s="74">
        <f>'Проверочная  таблица'!MW21</f>
        <v>0</v>
      </c>
      <c r="GS16" s="77">
        <f>'Федеральные  средства  по  МО'!BC17</f>
        <v>0</v>
      </c>
      <c r="GT16" s="76"/>
      <c r="GU16" s="74">
        <f>'Проверочная  таблица'!MS21</f>
        <v>0</v>
      </c>
      <c r="GV16" s="75">
        <f>'Проверочная  таблица'!NA21</f>
        <v>0</v>
      </c>
      <c r="GW16" s="77">
        <f>'Федеральные  средства  по  МО'!BD17</f>
        <v>0</v>
      </c>
      <c r="GX16" s="74">
        <f t="shared" si="50"/>
        <v>0</v>
      </c>
      <c r="GY16" s="69"/>
      <c r="GZ16" s="76"/>
      <c r="HA16" s="73">
        <f>'Федеральные  средства  по  МО'!BE17</f>
        <v>0</v>
      </c>
      <c r="HB16" s="74">
        <f t="shared" si="51"/>
        <v>0</v>
      </c>
      <c r="HC16" s="75"/>
      <c r="HD16" s="80"/>
      <c r="HE16" s="73">
        <f>'Федеральные  средства  по  МО'!BF17</f>
        <v>0</v>
      </c>
      <c r="HF16" s="76">
        <f t="shared" si="52"/>
        <v>0</v>
      </c>
      <c r="HG16" s="74"/>
      <c r="HH16" s="75"/>
      <c r="HI16" s="79">
        <f>'Федеральные  средства  по  МО'!BG17</f>
        <v>0</v>
      </c>
      <c r="HJ16" s="76">
        <f t="shared" si="12"/>
        <v>0</v>
      </c>
      <c r="HK16" s="74"/>
      <c r="HL16" s="75"/>
      <c r="HM16" s="78">
        <f>'Федеральные  средства  по  МО'!BH17</f>
        <v>116813.02</v>
      </c>
      <c r="HN16" s="76">
        <f t="shared" si="53"/>
        <v>116813.02</v>
      </c>
      <c r="HO16" s="74"/>
      <c r="HP16" s="75">
        <f>'Проверочная  таблица'!OF21</f>
        <v>0</v>
      </c>
      <c r="HQ16" s="79">
        <f>'Федеральные  средства  по  МО'!BI17</f>
        <v>0</v>
      </c>
      <c r="HR16" s="76">
        <f t="shared" si="54"/>
        <v>0</v>
      </c>
      <c r="HS16" s="81"/>
      <c r="HT16" s="74">
        <f>'Проверочная  таблица'!OI21</f>
        <v>0</v>
      </c>
      <c r="HU16" s="79">
        <f>'Федеральные  средства  по  МО'!BJ17</f>
        <v>0</v>
      </c>
      <c r="HV16" s="82">
        <f t="shared" si="55"/>
        <v>0</v>
      </c>
      <c r="HW16" s="80"/>
      <c r="HX16" s="81"/>
      <c r="HY16" s="73">
        <f>'Федеральные  средства  по  МО'!BK17</f>
        <v>0</v>
      </c>
      <c r="HZ16" s="82">
        <f t="shared" si="13"/>
        <v>0</v>
      </c>
      <c r="IA16" s="80"/>
      <c r="IB16" s="83"/>
      <c r="IC16" s="78">
        <f>'Федеральные  средства  по  МО'!BL17</f>
        <v>18504809.469999999</v>
      </c>
      <c r="ID16" s="76"/>
      <c r="IE16" s="74"/>
      <c r="IF16" s="75">
        <f>'Проверочная  таблица'!PR21</f>
        <v>0</v>
      </c>
      <c r="IG16" s="77">
        <f>'Федеральные  средства  по  МО'!BM17</f>
        <v>0</v>
      </c>
      <c r="IH16" s="76"/>
      <c r="II16" s="74"/>
      <c r="IJ16" s="75">
        <f>'Проверочная  таблица'!PV21</f>
        <v>0</v>
      </c>
      <c r="IK16" s="78">
        <f>'Федеральные  средства  по  МО'!BN17</f>
        <v>0</v>
      </c>
      <c r="IL16" s="76">
        <f>'Проверочная  таблица'!PZ21</f>
        <v>0</v>
      </c>
      <c r="IM16" s="74">
        <f t="shared" si="56"/>
        <v>0</v>
      </c>
      <c r="IN16" s="75"/>
      <c r="IO16" s="77">
        <f>'Федеральные  средства  по  МО'!BO17</f>
        <v>0</v>
      </c>
      <c r="IP16" s="76">
        <f>'Проверочная  таблица'!QE21</f>
        <v>0</v>
      </c>
      <c r="IQ16" s="74">
        <f t="shared" si="57"/>
        <v>0</v>
      </c>
      <c r="IR16" s="75"/>
      <c r="IS16" s="78">
        <f>'Федеральные  средства  по  МО'!BR17</f>
        <v>0</v>
      </c>
      <c r="IT16" s="74">
        <f t="shared" si="58"/>
        <v>0</v>
      </c>
      <c r="IU16" s="69"/>
      <c r="IV16" s="74"/>
      <c r="IW16" s="79">
        <f>'Федеральные  средства  по  МО'!BS17</f>
        <v>0</v>
      </c>
      <c r="IX16" s="75">
        <f t="shared" si="59"/>
        <v>0</v>
      </c>
      <c r="IY16" s="75"/>
      <c r="IZ16" s="74"/>
      <c r="JA16" s="78">
        <f>'Федеральные  средства  по  МО'!BT17</f>
        <v>0</v>
      </c>
      <c r="JB16" s="74">
        <f>'Проверочная  таблица'!RN21</f>
        <v>0</v>
      </c>
      <c r="JC16" s="69">
        <f>'Проверочная  таблица'!RT21</f>
        <v>0</v>
      </c>
      <c r="JD16" s="74">
        <f>'Проверочная  таблица'!RZ21</f>
        <v>0</v>
      </c>
      <c r="JE16" s="77">
        <f>'Федеральные  средства  по  МО'!BU17</f>
        <v>0</v>
      </c>
      <c r="JF16" s="74">
        <f>'Проверочная  таблица'!RK21</f>
        <v>0</v>
      </c>
      <c r="JG16" s="69">
        <f>'Проверочная  таблица'!RW21</f>
        <v>0</v>
      </c>
      <c r="JH16" s="76">
        <f>'Проверочная  таблица'!SC21</f>
        <v>0</v>
      </c>
      <c r="JI16" s="73">
        <f>'Федеральные  средства  по  МО'!BV17</f>
        <v>0</v>
      </c>
      <c r="JJ16" s="74">
        <f t="shared" si="60"/>
        <v>0</v>
      </c>
      <c r="JK16" s="69"/>
      <c r="JL16" s="74"/>
      <c r="JM16" s="79">
        <f>'Федеральные  средства  по  МО'!BW17</f>
        <v>0</v>
      </c>
      <c r="JN16" s="75">
        <f t="shared" si="61"/>
        <v>0</v>
      </c>
      <c r="JO16" s="69"/>
      <c r="JP16" s="76"/>
      <c r="JQ16" s="78">
        <f>'Федеральные  средства  по  МО'!BX17</f>
        <v>0</v>
      </c>
      <c r="JR16" s="74">
        <f t="shared" si="62"/>
        <v>0</v>
      </c>
      <c r="JS16" s="69"/>
      <c r="JT16" s="74"/>
      <c r="JU16" s="79">
        <f>'Федеральные  средства  по  МО'!BY17</f>
        <v>0</v>
      </c>
      <c r="JV16" s="74">
        <f t="shared" si="63"/>
        <v>0</v>
      </c>
      <c r="JW16" s="69"/>
      <c r="JX16" s="74"/>
      <c r="JY16" s="78">
        <f>'Федеральные  средства  по  МО'!BZ17</f>
        <v>0</v>
      </c>
      <c r="JZ16" s="74">
        <f t="shared" si="64"/>
        <v>0</v>
      </c>
      <c r="KA16" s="69"/>
      <c r="KB16" s="74"/>
      <c r="KC16" s="77">
        <f>'Федеральные  средства  по  МО'!CA17</f>
        <v>0</v>
      </c>
      <c r="KD16" s="74">
        <f t="shared" si="65"/>
        <v>0</v>
      </c>
      <c r="KE16" s="69"/>
      <c r="KF16" s="74"/>
      <c r="KG16" s="77">
        <f>'Федеральные  средства  по  МО'!CB17</f>
        <v>0</v>
      </c>
      <c r="KH16" s="76">
        <f>'Проверочная  таблица'!SZ21</f>
        <v>0</v>
      </c>
      <c r="KI16" s="74">
        <f>'Проверочная  таблица'!UB21</f>
        <v>0</v>
      </c>
      <c r="KJ16" s="69">
        <f>'Проверочная  таблица'!UP21</f>
        <v>0</v>
      </c>
      <c r="KK16" s="1043">
        <f>'Федеральные  средства  по  МО'!CC17</f>
        <v>0</v>
      </c>
      <c r="KL16" s="69">
        <f>'Проверочная  таблица'!TG21</f>
        <v>0</v>
      </c>
      <c r="KM16" s="74">
        <f>'Проверочная  таблица'!UI21</f>
        <v>0</v>
      </c>
      <c r="KN16" s="75">
        <f>'Проверочная  таблица'!UW21</f>
        <v>0</v>
      </c>
      <c r="KO16" s="77">
        <f>'Федеральные  средства  по  МО'!CD17</f>
        <v>0</v>
      </c>
      <c r="KP16" s="74">
        <f>'Проверочная  таблица'!TB21</f>
        <v>0</v>
      </c>
      <c r="KQ16" s="69">
        <f t="shared" si="66"/>
        <v>0</v>
      </c>
      <c r="KR16" s="74"/>
      <c r="KS16" s="77">
        <f>'Федеральные  средства  по  МО'!CE17</f>
        <v>0</v>
      </c>
      <c r="KT16" s="74">
        <f>'Проверочная  таблица'!TI21</f>
        <v>0</v>
      </c>
      <c r="KU16" s="69">
        <f t="shared" si="67"/>
        <v>0</v>
      </c>
      <c r="KV16" s="76"/>
      <c r="KW16" s="78">
        <f>'Федеральные  средства  по  МО'!CF17</f>
        <v>0</v>
      </c>
      <c r="KX16" s="76">
        <f>'Проверочная  таблица'!TD21</f>
        <v>0</v>
      </c>
      <c r="KY16" s="74">
        <f>'Проверочная  таблица'!UF21</f>
        <v>0</v>
      </c>
      <c r="KZ16" s="75"/>
      <c r="LA16" s="77">
        <f>'Федеральные  средства  по  МО'!CG17</f>
        <v>0</v>
      </c>
      <c r="LB16" s="76">
        <f>'Проверочная  таблица'!TK21</f>
        <v>0</v>
      </c>
      <c r="LC16" s="74">
        <f>'Проверочная  таблица'!TY21</f>
        <v>0</v>
      </c>
      <c r="LD16" s="74"/>
    </row>
    <row r="17" spans="1:316" ht="25.5" customHeight="1" x14ac:dyDescent="0.25">
      <c r="A17" s="70" t="s">
        <v>325</v>
      </c>
      <c r="B17" s="71">
        <f t="shared" si="14"/>
        <v>236419135.55999994</v>
      </c>
      <c r="C17" s="72">
        <f t="shared" si="15"/>
        <v>219906583.63999996</v>
      </c>
      <c r="D17" s="72">
        <f t="shared" si="16"/>
        <v>-37706.590000000011</v>
      </c>
      <c r="E17" s="72">
        <f t="shared" si="17"/>
        <v>16550258.51</v>
      </c>
      <c r="F17" s="71">
        <f t="shared" si="18"/>
        <v>12462676.460000001</v>
      </c>
      <c r="G17" s="72">
        <f t="shared" si="19"/>
        <v>10516632.640000001</v>
      </c>
      <c r="H17" s="72">
        <f t="shared" si="1"/>
        <v>0</v>
      </c>
      <c r="I17" s="72">
        <f t="shared" si="2"/>
        <v>1946043.82</v>
      </c>
      <c r="J17" s="54"/>
      <c r="K17" s="55">
        <f>M17-'Федеральные  средства  по  МО'!N18-'Федеральные  средства  по  МО'!D18</f>
        <v>0</v>
      </c>
      <c r="L17" s="55">
        <f>Q17-'Федеральные  средства  по  МО'!O18-'Федеральные  средства  по  МО'!E18</f>
        <v>0</v>
      </c>
      <c r="M17" s="1083">
        <f t="shared" si="20"/>
        <v>341143186.22000003</v>
      </c>
      <c r="N17" s="72">
        <f t="shared" si="21"/>
        <v>324630634.29999995</v>
      </c>
      <c r="O17" s="72">
        <f t="shared" si="22"/>
        <v>-37706.590000000011</v>
      </c>
      <c r="P17" s="72">
        <f t="shared" si="23"/>
        <v>16550258.51</v>
      </c>
      <c r="Q17" s="1083">
        <f t="shared" si="24"/>
        <v>12462676.460000001</v>
      </c>
      <c r="R17" s="72">
        <f t="shared" si="25"/>
        <v>10516632.640000001</v>
      </c>
      <c r="S17" s="72">
        <f t="shared" si="26"/>
        <v>0</v>
      </c>
      <c r="T17" s="72">
        <f t="shared" si="27"/>
        <v>1946043.82</v>
      </c>
      <c r="U17" s="73">
        <f>'Федеральные  средства  по  МО'!F18</f>
        <v>0</v>
      </c>
      <c r="V17" s="69">
        <f>'Проверочная  таблица'!BT22</f>
        <v>0</v>
      </c>
      <c r="W17" s="74">
        <f>'Проверочная  таблица'!BX22</f>
        <v>0</v>
      </c>
      <c r="X17" s="69">
        <f>'Проверочная  таблица'!BZ22</f>
        <v>0</v>
      </c>
      <c r="Y17" s="73">
        <f>'Федеральные  средства  по  МО'!G18</f>
        <v>0</v>
      </c>
      <c r="Z17" s="69">
        <f>'Проверочная  таблица'!BU22</f>
        <v>0</v>
      </c>
      <c r="AA17" s="74">
        <f>'Проверочная  таблица'!BY22</f>
        <v>0</v>
      </c>
      <c r="AB17" s="69">
        <f>'Проверочная  таблица'!CA22</f>
        <v>0</v>
      </c>
      <c r="AC17" s="1043">
        <f>'Федеральные  средства  по  МО'!H18</f>
        <v>35842050.659999996</v>
      </c>
      <c r="AD17" s="75">
        <f t="shared" si="28"/>
        <v>35842050.659999996</v>
      </c>
      <c r="AE17" s="69"/>
      <c r="AF17" s="76"/>
      <c r="AG17" s="1043">
        <f>'Федеральные  средства  по  МО'!I18</f>
        <v>0</v>
      </c>
      <c r="AH17" s="75">
        <f t="shared" si="29"/>
        <v>0</v>
      </c>
      <c r="AI17" s="69"/>
      <c r="AJ17" s="74"/>
      <c r="AK17" s="73">
        <f>'Федеральные  средства  по  МО'!J18</f>
        <v>68882000</v>
      </c>
      <c r="AL17" s="75">
        <f t="shared" si="30"/>
        <v>68882000</v>
      </c>
      <c r="AM17" s="69"/>
      <c r="AN17" s="76"/>
      <c r="AO17" s="73">
        <f>'Федеральные  средства  по  МО'!K18</f>
        <v>0</v>
      </c>
      <c r="AP17" s="75">
        <f t="shared" si="31"/>
        <v>0</v>
      </c>
      <c r="AQ17" s="69"/>
      <c r="AR17" s="74"/>
      <c r="AS17" s="77">
        <f>'Федеральные  средства  по  МО'!P18</f>
        <v>0</v>
      </c>
      <c r="AT17" s="74">
        <f>'Проверочная  таблица'!CX22</f>
        <v>0</v>
      </c>
      <c r="AU17" s="69"/>
      <c r="AV17" s="76"/>
      <c r="AW17" s="78">
        <f>'Федеральные  средства  по  МО'!Q18</f>
        <v>0</v>
      </c>
      <c r="AX17" s="74">
        <f>'Проверочная  таблица'!DE22</f>
        <v>0</v>
      </c>
      <c r="AY17" s="75"/>
      <c r="AZ17" s="69"/>
      <c r="BA17" s="78">
        <f>'Федеральные  средства  по  МО'!R18</f>
        <v>0</v>
      </c>
      <c r="BB17" s="74">
        <f>'Проверочная  таблица'!CZ22</f>
        <v>0</v>
      </c>
      <c r="BC17" s="69"/>
      <c r="BD17" s="74">
        <f>'Проверочная  таблица'!DL22</f>
        <v>0</v>
      </c>
      <c r="BE17" s="77">
        <f>'Федеральные  средства  по  МО'!S18</f>
        <v>0</v>
      </c>
      <c r="BF17" s="74">
        <f>'Проверочная  таблица'!DG22</f>
        <v>0</v>
      </c>
      <c r="BG17" s="69"/>
      <c r="BH17" s="74">
        <f>'Проверочная  таблица'!DO22</f>
        <v>0</v>
      </c>
      <c r="BI17" s="77">
        <f>'Федеральные  средства  по  МО'!T18</f>
        <v>0</v>
      </c>
      <c r="BJ17" s="74">
        <f t="shared" si="32"/>
        <v>0</v>
      </c>
      <c r="BK17" s="69"/>
      <c r="BL17" s="74"/>
      <c r="BM17" s="79">
        <f>'Федеральные  средства  по  МО'!U18</f>
        <v>0</v>
      </c>
      <c r="BN17" s="74">
        <f t="shared" si="33"/>
        <v>0</v>
      </c>
      <c r="BO17" s="75"/>
      <c r="BP17" s="75"/>
      <c r="BQ17" s="73">
        <f>'Федеральные  средства  по  МО'!V18</f>
        <v>0</v>
      </c>
      <c r="BR17" s="75">
        <f t="shared" si="4"/>
        <v>0</v>
      </c>
      <c r="BS17" s="74"/>
      <c r="BT17" s="69"/>
      <c r="BU17" s="73">
        <f>'Федеральные  средства  по  МО'!W18</f>
        <v>0</v>
      </c>
      <c r="BV17" s="75">
        <f t="shared" si="5"/>
        <v>0</v>
      </c>
      <c r="BW17" s="74"/>
      <c r="BX17" s="69"/>
      <c r="BY17" s="73">
        <f>'Федеральные  средства  по  МО'!X18</f>
        <v>0</v>
      </c>
      <c r="BZ17" s="75">
        <f t="shared" si="6"/>
        <v>0</v>
      </c>
      <c r="CA17" s="74"/>
      <c r="CB17" s="69"/>
      <c r="CC17" s="73">
        <f>'Федеральные  средства  по  МО'!Y18</f>
        <v>0</v>
      </c>
      <c r="CD17" s="75">
        <f t="shared" si="7"/>
        <v>0</v>
      </c>
      <c r="CE17" s="74"/>
      <c r="CF17" s="69"/>
      <c r="CG17" s="73">
        <f>'Федеральные  средства  по  МО'!Z18</f>
        <v>0</v>
      </c>
      <c r="CH17" s="75">
        <f t="shared" si="8"/>
        <v>0</v>
      </c>
      <c r="CI17" s="69"/>
      <c r="CJ17" s="76"/>
      <c r="CK17" s="73">
        <f>'Федеральные  средства  по  МО'!AA18</f>
        <v>0</v>
      </c>
      <c r="CL17" s="75">
        <f t="shared" si="9"/>
        <v>0</v>
      </c>
      <c r="CM17" s="74"/>
      <c r="CN17" s="75"/>
      <c r="CO17" s="78">
        <f>'Федеральные  средства  по  МО'!AB18</f>
        <v>82494836.710000008</v>
      </c>
      <c r="CP17" s="74">
        <f t="shared" si="34"/>
        <v>82494836.710000008</v>
      </c>
      <c r="CQ17" s="69"/>
      <c r="CR17" s="74"/>
      <c r="CS17" s="77">
        <f>'Федеральные  средства  по  МО'!AC18</f>
        <v>0</v>
      </c>
      <c r="CT17" s="74">
        <f t="shared" si="35"/>
        <v>0</v>
      </c>
      <c r="CU17" s="69"/>
      <c r="CV17" s="74"/>
      <c r="CW17" s="78">
        <f>'Федеральные  средства  по  МО'!AD18</f>
        <v>0</v>
      </c>
      <c r="CX17" s="76">
        <f>'Проверочная  таблица'!FD22</f>
        <v>0</v>
      </c>
      <c r="CY17" s="74">
        <f t="shared" si="36"/>
        <v>0</v>
      </c>
      <c r="CZ17" s="75"/>
      <c r="DA17" s="77">
        <f>'Федеральные  средства  по  МО'!AE18</f>
        <v>0</v>
      </c>
      <c r="DB17" s="76">
        <f>'Проверочная  таблица'!FG22</f>
        <v>0</v>
      </c>
      <c r="DC17" s="74">
        <f t="shared" si="37"/>
        <v>0</v>
      </c>
      <c r="DD17" s="69"/>
      <c r="DE17" s="73">
        <f>'Федеральные  средства  по  МО'!AF18</f>
        <v>0</v>
      </c>
      <c r="DF17" s="75">
        <f t="shared" si="38"/>
        <v>0</v>
      </c>
      <c r="DG17" s="69"/>
      <c r="DH17" s="76"/>
      <c r="DI17" s="73">
        <f>'Федеральные  средства  по  МО'!AG18</f>
        <v>0</v>
      </c>
      <c r="DJ17" s="75">
        <f t="shared" si="39"/>
        <v>0</v>
      </c>
      <c r="DK17" s="69"/>
      <c r="DL17" s="76"/>
      <c r="DM17" s="73">
        <f>'Федеральные  средства  по  МО'!AH18</f>
        <v>0</v>
      </c>
      <c r="DN17" s="75">
        <f t="shared" si="40"/>
        <v>0</v>
      </c>
      <c r="DO17" s="69"/>
      <c r="DP17" s="76"/>
      <c r="DQ17" s="73">
        <f>'Федеральные  средства  по  МО'!AI18</f>
        <v>0</v>
      </c>
      <c r="DR17" s="75">
        <f t="shared" si="41"/>
        <v>0</v>
      </c>
      <c r="DS17" s="69"/>
      <c r="DT17" s="74"/>
      <c r="DU17" s="78">
        <f>'Федеральные  средства  по  МО'!AJ18</f>
        <v>0</v>
      </c>
      <c r="DV17" s="74">
        <f t="shared" si="42"/>
        <v>0</v>
      </c>
      <c r="DW17" s="69"/>
      <c r="DX17" s="74"/>
      <c r="DY17" s="77">
        <f>'Федеральные  средства  по  МО'!AK18</f>
        <v>0</v>
      </c>
      <c r="DZ17" s="74">
        <f t="shared" si="43"/>
        <v>0</v>
      </c>
      <c r="EA17" s="69"/>
      <c r="EB17" s="76"/>
      <c r="EC17" s="73">
        <f>'Федеральные  средства  по  МО'!AL18</f>
        <v>0</v>
      </c>
      <c r="ED17" s="69">
        <f t="shared" si="10"/>
        <v>0</v>
      </c>
      <c r="EE17" s="74"/>
      <c r="EF17" s="69"/>
      <c r="EG17" s="73">
        <f>'Федеральные  средства  по  МО'!AM18</f>
        <v>0</v>
      </c>
      <c r="EH17" s="69">
        <f t="shared" si="11"/>
        <v>0</v>
      </c>
      <c r="EI17" s="74"/>
      <c r="EJ17" s="69"/>
      <c r="EK17" s="78">
        <f>'Федеральные  средства  по  МО'!AN18</f>
        <v>821052.83999999985</v>
      </c>
      <c r="EL17" s="74"/>
      <c r="EM17" s="69"/>
      <c r="EN17" s="74">
        <f t="shared" si="44"/>
        <v>821052.83999999985</v>
      </c>
      <c r="EO17" s="77">
        <f>'Федеральные  средства  по  МО'!AO18</f>
        <v>0</v>
      </c>
      <c r="EP17" s="74"/>
      <c r="EQ17" s="69"/>
      <c r="ER17" s="76">
        <f t="shared" si="45"/>
        <v>0</v>
      </c>
      <c r="ES17" s="1055">
        <f>'Федеральные  средства  по  МО'!AP18</f>
        <v>0</v>
      </c>
      <c r="ET17" s="74">
        <f>'Проверочная  таблица'!IR22</f>
        <v>0</v>
      </c>
      <c r="EU17" s="69">
        <f>'Проверочная  таблица'!JB22</f>
        <v>0</v>
      </c>
      <c r="EV17" s="74">
        <f>'Проверочная  таблица'!JD22</f>
        <v>0</v>
      </c>
      <c r="EW17" s="1057">
        <f>'Федеральные  средства  по  МО'!AQ18</f>
        <v>0</v>
      </c>
      <c r="EX17" s="74">
        <f>'Проверочная  таблица'!IU22</f>
        <v>0</v>
      </c>
      <c r="EY17" s="69">
        <f>'Проверочная  таблица'!JC22</f>
        <v>0</v>
      </c>
      <c r="EZ17" s="74">
        <f>'Проверочная  таблица'!JE22</f>
        <v>0</v>
      </c>
      <c r="FA17" s="79">
        <f>'Федеральные  средства  по  МО'!AR18</f>
        <v>0</v>
      </c>
      <c r="FB17" s="75"/>
      <c r="FC17" s="69"/>
      <c r="FD17" s="76"/>
      <c r="FE17" s="73">
        <f>'Федеральные  средства  по  МО'!AS18</f>
        <v>0</v>
      </c>
      <c r="FF17" s="75"/>
      <c r="FG17" s="69"/>
      <c r="FH17" s="74"/>
      <c r="FI17" s="79">
        <f>'Федеральные  средства  по  МО'!AT18</f>
        <v>0</v>
      </c>
      <c r="FJ17" s="75"/>
      <c r="FK17" s="69"/>
      <c r="FL17" s="76"/>
      <c r="FM17" s="73">
        <f>'Федеральные  средства  по  МО'!AU18</f>
        <v>0</v>
      </c>
      <c r="FN17" s="69"/>
      <c r="FO17" s="74"/>
      <c r="FP17" s="69"/>
      <c r="FQ17" s="78">
        <f>'Федеральные  средства  по  МО'!AV18</f>
        <v>23542.699999999983</v>
      </c>
      <c r="FR17" s="76">
        <f>'Проверочная  таблица'!JT22</f>
        <v>11771.349999999991</v>
      </c>
      <c r="FS17" s="74">
        <f>'Проверочная  таблица'!KF22</f>
        <v>-83931.260000000009</v>
      </c>
      <c r="FT17" s="74">
        <f>'Проверочная  таблица'!KL22</f>
        <v>95702.61</v>
      </c>
      <c r="FU17" s="77">
        <f>'Федеральные  средства  по  МО'!AW18</f>
        <v>0</v>
      </c>
      <c r="FV17" s="74">
        <f>'Проверочная  таблица'!JW22</f>
        <v>0</v>
      </c>
      <c r="FW17" s="69">
        <f>'Проверочная  таблица'!KI22</f>
        <v>0</v>
      </c>
      <c r="FX17" s="74">
        <f>'Проверочная  таблица'!KO22</f>
        <v>0</v>
      </c>
      <c r="FY17" s="78">
        <f>'Федеральные  средства  по  МО'!AX18</f>
        <v>46224.67</v>
      </c>
      <c r="FZ17" s="74"/>
      <c r="GA17" s="69">
        <f t="shared" si="46"/>
        <v>46224.67</v>
      </c>
      <c r="GB17" s="74"/>
      <c r="GC17" s="73">
        <f>'Федеральные  средства  по  МО'!AY18</f>
        <v>0</v>
      </c>
      <c r="GD17" s="69"/>
      <c r="GE17" s="74">
        <f t="shared" si="47"/>
        <v>0</v>
      </c>
      <c r="GF17" s="69"/>
      <c r="GG17" s="73">
        <f>'Федеральные  средства  по  МО'!AZ18</f>
        <v>99572.97</v>
      </c>
      <c r="GH17" s="75">
        <f t="shared" si="48"/>
        <v>99572.97</v>
      </c>
      <c r="GI17" s="69"/>
      <c r="GJ17" s="76"/>
      <c r="GK17" s="73">
        <f>'Федеральные  средства  по  МО'!BA18</f>
        <v>0</v>
      </c>
      <c r="GL17" s="75">
        <f t="shared" si="49"/>
        <v>0</v>
      </c>
      <c r="GM17" s="69"/>
      <c r="GN17" s="74"/>
      <c r="GO17" s="79">
        <f>'Федеральные  средства  по  МО'!BB18</f>
        <v>0</v>
      </c>
      <c r="GP17" s="69"/>
      <c r="GQ17" s="76">
        <f>'Проверочная  таблица'!MO22</f>
        <v>0</v>
      </c>
      <c r="GR17" s="74">
        <f>'Проверочная  таблица'!MW22</f>
        <v>0</v>
      </c>
      <c r="GS17" s="77">
        <f>'Федеральные  средства  по  МО'!BC18</f>
        <v>0</v>
      </c>
      <c r="GT17" s="76"/>
      <c r="GU17" s="74">
        <f>'Проверочная  таблица'!MS22</f>
        <v>0</v>
      </c>
      <c r="GV17" s="75">
        <f>'Проверочная  таблица'!NA22</f>
        <v>0</v>
      </c>
      <c r="GW17" s="77">
        <f>'Федеральные  средства  по  МО'!BD18</f>
        <v>0</v>
      </c>
      <c r="GX17" s="74">
        <f t="shared" si="50"/>
        <v>0</v>
      </c>
      <c r="GY17" s="69"/>
      <c r="GZ17" s="76"/>
      <c r="HA17" s="73">
        <f>'Федеральные  средства  по  МО'!BE18</f>
        <v>0</v>
      </c>
      <c r="HB17" s="74">
        <f t="shared" si="51"/>
        <v>0</v>
      </c>
      <c r="HC17" s="75"/>
      <c r="HD17" s="69"/>
      <c r="HE17" s="73">
        <f>'Федеральные  средства  по  МО'!BF18</f>
        <v>0</v>
      </c>
      <c r="HF17" s="76">
        <f t="shared" si="52"/>
        <v>0</v>
      </c>
      <c r="HG17" s="74"/>
      <c r="HH17" s="75"/>
      <c r="HI17" s="79">
        <f>'Федеральные  средства  по  МО'!BG18</f>
        <v>0</v>
      </c>
      <c r="HJ17" s="76">
        <f t="shared" si="12"/>
        <v>0</v>
      </c>
      <c r="HK17" s="74"/>
      <c r="HL17" s="75"/>
      <c r="HM17" s="78">
        <f>'Федеральные  средства  по  МО'!BH18</f>
        <v>129205.67</v>
      </c>
      <c r="HN17" s="76">
        <f t="shared" si="53"/>
        <v>95702.61</v>
      </c>
      <c r="HO17" s="74"/>
      <c r="HP17" s="75">
        <f>'Проверочная  таблица'!OF22</f>
        <v>33503.06</v>
      </c>
      <c r="HQ17" s="79">
        <f>'Федеральные  средства  по  МО'!BI18</f>
        <v>129205.67</v>
      </c>
      <c r="HR17" s="76">
        <f t="shared" si="54"/>
        <v>95702.61</v>
      </c>
      <c r="HS17" s="76"/>
      <c r="HT17" s="74">
        <f>'Проверочная  таблица'!OI22</f>
        <v>33503.06</v>
      </c>
      <c r="HU17" s="79">
        <f>'Федеральные  средства  по  МО'!BJ18</f>
        <v>0</v>
      </c>
      <c r="HV17" s="75">
        <f t="shared" si="55"/>
        <v>0</v>
      </c>
      <c r="HW17" s="69"/>
      <c r="HX17" s="76"/>
      <c r="HY17" s="73">
        <f>'Федеральные  средства  по  МО'!BK18</f>
        <v>0</v>
      </c>
      <c r="HZ17" s="75">
        <f t="shared" si="13"/>
        <v>0</v>
      </c>
      <c r="IA17" s="69"/>
      <c r="IB17" s="74"/>
      <c r="IC17" s="78">
        <f>'Федеральные  средства  по  МО'!BL18</f>
        <v>15600000</v>
      </c>
      <c r="ID17" s="76"/>
      <c r="IE17" s="74"/>
      <c r="IF17" s="75">
        <f>'Проверочная  таблица'!PR22</f>
        <v>15600000</v>
      </c>
      <c r="IG17" s="77">
        <f>'Федеральные  средства  по  МО'!BM18</f>
        <v>1912540.76</v>
      </c>
      <c r="IH17" s="76"/>
      <c r="II17" s="74"/>
      <c r="IJ17" s="75">
        <f>'Проверочная  таблица'!PV22</f>
        <v>1912540.76</v>
      </c>
      <c r="IK17" s="78">
        <f>'Федеральные  средства  по  МО'!BN18</f>
        <v>0</v>
      </c>
      <c r="IL17" s="76">
        <f>'Проверочная  таблица'!PZ22</f>
        <v>0</v>
      </c>
      <c r="IM17" s="74">
        <f t="shared" si="56"/>
        <v>0</v>
      </c>
      <c r="IN17" s="75"/>
      <c r="IO17" s="77">
        <f>'Федеральные  средства  по  МО'!BO18</f>
        <v>0</v>
      </c>
      <c r="IP17" s="76">
        <f>'Проверочная  таблица'!QE22</f>
        <v>0</v>
      </c>
      <c r="IQ17" s="74">
        <f t="shared" si="57"/>
        <v>0</v>
      </c>
      <c r="IR17" s="75"/>
      <c r="IS17" s="78">
        <f>'Федеральные  средства  по  МО'!BR18</f>
        <v>0</v>
      </c>
      <c r="IT17" s="74">
        <f t="shared" si="58"/>
        <v>0</v>
      </c>
      <c r="IU17" s="69"/>
      <c r="IV17" s="74"/>
      <c r="IW17" s="79">
        <f>'Федеральные  средства  по  МО'!BS18</f>
        <v>0</v>
      </c>
      <c r="IX17" s="75">
        <f t="shared" si="59"/>
        <v>0</v>
      </c>
      <c r="IY17" s="75"/>
      <c r="IZ17" s="74"/>
      <c r="JA17" s="78">
        <f>'Федеральные  средства  по  МО'!BT18</f>
        <v>0</v>
      </c>
      <c r="JB17" s="74">
        <f>'Проверочная  таблица'!RN22</f>
        <v>0</v>
      </c>
      <c r="JC17" s="69">
        <f>'Проверочная  таблица'!RT22</f>
        <v>0</v>
      </c>
      <c r="JD17" s="74">
        <f>'Проверочная  таблица'!RZ22</f>
        <v>0</v>
      </c>
      <c r="JE17" s="77">
        <f>'Федеральные  средства  по  МО'!BU18</f>
        <v>0</v>
      </c>
      <c r="JF17" s="74">
        <f>'Проверочная  таблица'!RK22</f>
        <v>0</v>
      </c>
      <c r="JG17" s="69">
        <f>'Проверочная  таблица'!RW22</f>
        <v>0</v>
      </c>
      <c r="JH17" s="76">
        <f>'Проверочная  таблица'!SC22</f>
        <v>0</v>
      </c>
      <c r="JI17" s="73">
        <f>'Федеральные  средства  по  МО'!BV18</f>
        <v>0</v>
      </c>
      <c r="JJ17" s="74">
        <f t="shared" si="60"/>
        <v>0</v>
      </c>
      <c r="JK17" s="69"/>
      <c r="JL17" s="74"/>
      <c r="JM17" s="79">
        <f>'Федеральные  средства  по  МО'!BW18</f>
        <v>0</v>
      </c>
      <c r="JN17" s="75">
        <f t="shared" si="61"/>
        <v>0</v>
      </c>
      <c r="JO17" s="69"/>
      <c r="JP17" s="76"/>
      <c r="JQ17" s="78">
        <f>'Федеральные  средства  по  МО'!BX18</f>
        <v>75218600</v>
      </c>
      <c r="JR17" s="74">
        <f t="shared" si="62"/>
        <v>75218600</v>
      </c>
      <c r="JS17" s="69"/>
      <c r="JT17" s="74"/>
      <c r="JU17" s="79">
        <f>'Федеральные  средства  по  МО'!BY18</f>
        <v>953114.46</v>
      </c>
      <c r="JV17" s="74">
        <f t="shared" si="63"/>
        <v>953114.46</v>
      </c>
      <c r="JW17" s="69"/>
      <c r="JX17" s="74"/>
      <c r="JY17" s="78">
        <f>'Федеральные  средства  по  МО'!BZ18</f>
        <v>0</v>
      </c>
      <c r="JZ17" s="74">
        <f t="shared" si="64"/>
        <v>0</v>
      </c>
      <c r="KA17" s="69"/>
      <c r="KB17" s="74"/>
      <c r="KC17" s="77">
        <f>'Федеральные  средства  по  МО'!CA18</f>
        <v>0</v>
      </c>
      <c r="KD17" s="74">
        <f t="shared" si="65"/>
        <v>0</v>
      </c>
      <c r="KE17" s="69"/>
      <c r="KF17" s="74"/>
      <c r="KG17" s="77">
        <f>'Федеральные  средства  по  МО'!CB18</f>
        <v>0</v>
      </c>
      <c r="KH17" s="76">
        <f>'Проверочная  таблица'!SZ22</f>
        <v>0</v>
      </c>
      <c r="KI17" s="74">
        <f>'Проверочная  таблица'!UB22</f>
        <v>0</v>
      </c>
      <c r="KJ17" s="69">
        <f>'Проверочная  таблица'!UP22</f>
        <v>0</v>
      </c>
      <c r="KK17" s="1043">
        <f>'Федеральные  средства  по  МО'!CC18</f>
        <v>0</v>
      </c>
      <c r="KL17" s="69">
        <f>'Проверочная  таблица'!TG22</f>
        <v>0</v>
      </c>
      <c r="KM17" s="74">
        <f>'Проверочная  таблица'!UI22</f>
        <v>0</v>
      </c>
      <c r="KN17" s="75">
        <f>'Проверочная  таблица'!UW22</f>
        <v>0</v>
      </c>
      <c r="KO17" s="77">
        <f>'Федеральные  средства  по  МО'!CD18</f>
        <v>0</v>
      </c>
      <c r="KP17" s="74">
        <f>'Проверочная  таблица'!TB22</f>
        <v>0</v>
      </c>
      <c r="KQ17" s="69">
        <f t="shared" si="66"/>
        <v>0</v>
      </c>
      <c r="KR17" s="74"/>
      <c r="KS17" s="77">
        <f>'Федеральные  средства  по  МО'!CE18</f>
        <v>0</v>
      </c>
      <c r="KT17" s="74">
        <f>'Проверочная  таблица'!TI22</f>
        <v>0</v>
      </c>
      <c r="KU17" s="69">
        <f t="shared" si="67"/>
        <v>0</v>
      </c>
      <c r="KV17" s="76"/>
      <c r="KW17" s="78">
        <f>'Федеральные  средства  по  МО'!CF18</f>
        <v>61986100</v>
      </c>
      <c r="KX17" s="76">
        <f>'Проверочная  таблица'!TD22</f>
        <v>61986100</v>
      </c>
      <c r="KY17" s="74">
        <f>'Проверочная  таблица'!UF22</f>
        <v>0</v>
      </c>
      <c r="KZ17" s="75"/>
      <c r="LA17" s="77">
        <f>'Федеральные  средства  по  МО'!CG18</f>
        <v>9467815.5700000003</v>
      </c>
      <c r="LB17" s="76">
        <f>'Проверочная  таблица'!TK22</f>
        <v>9467815.5700000003</v>
      </c>
      <c r="LC17" s="74">
        <f>'Проверочная  таблица'!TY22</f>
        <v>0</v>
      </c>
      <c r="LD17" s="74"/>
    </row>
    <row r="18" spans="1:316" ht="25.5" customHeight="1" x14ac:dyDescent="0.25">
      <c r="A18" s="84" t="s">
        <v>326</v>
      </c>
      <c r="B18" s="53">
        <f t="shared" si="14"/>
        <v>204147095.17000002</v>
      </c>
      <c r="C18" s="53">
        <f t="shared" si="15"/>
        <v>203819399.64000002</v>
      </c>
      <c r="D18" s="53">
        <f t="shared" si="16"/>
        <v>237029.57</v>
      </c>
      <c r="E18" s="53">
        <f t="shared" si="17"/>
        <v>90665.96</v>
      </c>
      <c r="F18" s="53">
        <f t="shared" si="18"/>
        <v>60391748.619999997</v>
      </c>
      <c r="G18" s="53">
        <f t="shared" si="19"/>
        <v>60391748.619999997</v>
      </c>
      <c r="H18" s="53">
        <f t="shared" si="1"/>
        <v>0</v>
      </c>
      <c r="I18" s="53">
        <f t="shared" si="2"/>
        <v>0</v>
      </c>
      <c r="J18" s="54"/>
      <c r="K18" s="55">
        <f>M18-'Федеральные  средства  по  МО'!N19-'Федеральные  средства  по  МО'!D19</f>
        <v>0</v>
      </c>
      <c r="L18" s="55">
        <f>Q18-'Федеральные  средства  по  МО'!O19-'Федеральные  средства  по  МО'!E19</f>
        <v>0</v>
      </c>
      <c r="M18" s="1084">
        <f t="shared" si="20"/>
        <v>227747400.65000001</v>
      </c>
      <c r="N18" s="1084">
        <f t="shared" si="21"/>
        <v>227419705.12</v>
      </c>
      <c r="O18" s="1084">
        <f t="shared" si="22"/>
        <v>237029.57</v>
      </c>
      <c r="P18" s="1084">
        <f t="shared" si="23"/>
        <v>90665.96</v>
      </c>
      <c r="Q18" s="1084">
        <f t="shared" si="24"/>
        <v>60391748.619999997</v>
      </c>
      <c r="R18" s="1084">
        <f t="shared" si="25"/>
        <v>60391748.619999997</v>
      </c>
      <c r="S18" s="1084">
        <f t="shared" si="26"/>
        <v>0</v>
      </c>
      <c r="T18" s="1084">
        <f t="shared" si="27"/>
        <v>0</v>
      </c>
      <c r="U18" s="85">
        <f>'Федеральные  средства  по  МО'!F19</f>
        <v>0</v>
      </c>
      <c r="V18" s="86">
        <f>'Проверочная  таблица'!BT15</f>
        <v>0</v>
      </c>
      <c r="W18" s="85">
        <f>'Проверочная  таблица'!BX15</f>
        <v>0</v>
      </c>
      <c r="X18" s="86">
        <f>'Проверочная  таблица'!BZ15</f>
        <v>0</v>
      </c>
      <c r="Y18" s="85">
        <f>'Федеральные  средства  по  МО'!G19</f>
        <v>0</v>
      </c>
      <c r="Z18" s="86">
        <f>'Проверочная  таблица'!BU15</f>
        <v>0</v>
      </c>
      <c r="AA18" s="85">
        <f>'Проверочная  таблица'!BY15</f>
        <v>0</v>
      </c>
      <c r="AB18" s="86">
        <f>'Проверочная  таблица'!CA15</f>
        <v>0</v>
      </c>
      <c r="AC18" s="1079">
        <f>'Федеральные  средства  по  МО'!H19</f>
        <v>16551305.479999999</v>
      </c>
      <c r="AD18" s="1080">
        <f t="shared" si="28"/>
        <v>16551305.479999999</v>
      </c>
      <c r="AE18" s="1081"/>
      <c r="AF18" s="1082"/>
      <c r="AG18" s="1079">
        <f>'Федеральные  средства  по  МО'!I19</f>
        <v>0</v>
      </c>
      <c r="AH18" s="87">
        <f t="shared" si="29"/>
        <v>0</v>
      </c>
      <c r="AI18" s="86"/>
      <c r="AJ18" s="85"/>
      <c r="AK18" s="85">
        <f>'Федеральные  средства  по  МО'!J19</f>
        <v>7049000</v>
      </c>
      <c r="AL18" s="87">
        <f t="shared" si="30"/>
        <v>7049000</v>
      </c>
      <c r="AM18" s="86"/>
      <c r="AN18" s="88"/>
      <c r="AO18" s="85">
        <f>'Федеральные  средства  по  МО'!K19</f>
        <v>0</v>
      </c>
      <c r="AP18" s="87">
        <f t="shared" si="31"/>
        <v>0</v>
      </c>
      <c r="AQ18" s="86"/>
      <c r="AR18" s="85"/>
      <c r="AS18" s="86">
        <f>'Федеральные  средства  по  МО'!P19</f>
        <v>0</v>
      </c>
      <c r="AT18" s="85">
        <f>'Проверочная  таблица'!CX15</f>
        <v>0</v>
      </c>
      <c r="AU18" s="65"/>
      <c r="AV18" s="66"/>
      <c r="AW18" s="88">
        <f>'Федеральные  средства  по  МО'!Q19</f>
        <v>0</v>
      </c>
      <c r="AX18" s="85">
        <f>'Проверочная  таблица'!DE15</f>
        <v>0</v>
      </c>
      <c r="AY18" s="64"/>
      <c r="AZ18" s="65"/>
      <c r="BA18" s="88">
        <f>'Федеральные  средства  по  МО'!R19</f>
        <v>0</v>
      </c>
      <c r="BB18" s="85">
        <f>'Проверочная  таблица'!CZ15</f>
        <v>0</v>
      </c>
      <c r="BC18" s="86"/>
      <c r="BD18" s="85">
        <f>'Проверочная  таблица'!DL15</f>
        <v>0</v>
      </c>
      <c r="BE18" s="86">
        <f>'Федеральные  средства  по  МО'!S19</f>
        <v>0</v>
      </c>
      <c r="BF18" s="85">
        <f>'Проверочная  таблица'!DG15</f>
        <v>0</v>
      </c>
      <c r="BG18" s="65"/>
      <c r="BH18" s="85">
        <f>'Проверочная  таблица'!DO15</f>
        <v>0</v>
      </c>
      <c r="BI18" s="86">
        <f>'Федеральные  средства  по  МО'!T19</f>
        <v>0</v>
      </c>
      <c r="BJ18" s="85">
        <f t="shared" si="32"/>
        <v>0</v>
      </c>
      <c r="BK18" s="86"/>
      <c r="BL18" s="85"/>
      <c r="BM18" s="87">
        <f>'Федеральные  средства  по  МО'!U19</f>
        <v>0</v>
      </c>
      <c r="BN18" s="85">
        <f t="shared" si="33"/>
        <v>0</v>
      </c>
      <c r="BO18" s="64"/>
      <c r="BP18" s="64"/>
      <c r="BQ18" s="85">
        <f>'Федеральные  средства  по  МО'!V19</f>
        <v>0</v>
      </c>
      <c r="BR18" s="64">
        <f t="shared" si="4"/>
        <v>0</v>
      </c>
      <c r="BS18" s="67"/>
      <c r="BT18" s="65"/>
      <c r="BU18" s="85">
        <f>'Федеральные  средства  по  МО'!W19</f>
        <v>0</v>
      </c>
      <c r="BV18" s="64">
        <f t="shared" si="5"/>
        <v>0</v>
      </c>
      <c r="BW18" s="67"/>
      <c r="BX18" s="65"/>
      <c r="BY18" s="85">
        <f>'Федеральные  средства  по  МО'!X19</f>
        <v>0</v>
      </c>
      <c r="BZ18" s="64">
        <f t="shared" si="6"/>
        <v>0</v>
      </c>
      <c r="CA18" s="67"/>
      <c r="CB18" s="65"/>
      <c r="CC18" s="85">
        <f>'Федеральные  средства  по  МО'!Y19</f>
        <v>0</v>
      </c>
      <c r="CD18" s="64">
        <f t="shared" si="7"/>
        <v>0</v>
      </c>
      <c r="CE18" s="67"/>
      <c r="CF18" s="65"/>
      <c r="CG18" s="85">
        <f>'Федеральные  средства  по  МО'!Z19</f>
        <v>0</v>
      </c>
      <c r="CH18" s="64">
        <f t="shared" si="8"/>
        <v>0</v>
      </c>
      <c r="CI18" s="65"/>
      <c r="CJ18" s="66"/>
      <c r="CK18" s="85">
        <f>'Федеральные  средства  по  МО'!AA19</f>
        <v>0</v>
      </c>
      <c r="CL18" s="64">
        <f t="shared" si="9"/>
        <v>0</v>
      </c>
      <c r="CM18" s="67"/>
      <c r="CN18" s="64"/>
      <c r="CO18" s="88">
        <f>'Федеральные  средства  по  МО'!AB19</f>
        <v>0</v>
      </c>
      <c r="CP18" s="85">
        <f t="shared" si="34"/>
        <v>0</v>
      </c>
      <c r="CQ18" s="86"/>
      <c r="CR18" s="85"/>
      <c r="CS18" s="86">
        <f>'Федеральные  средства  по  МО'!AC19</f>
        <v>0</v>
      </c>
      <c r="CT18" s="85">
        <f t="shared" si="35"/>
        <v>0</v>
      </c>
      <c r="CU18" s="86"/>
      <c r="CV18" s="85"/>
      <c r="CW18" s="88">
        <f>'Федеральные  средства  по  МО'!AD19</f>
        <v>1497946.03</v>
      </c>
      <c r="CX18" s="88">
        <f>'Проверочная  таблица'!FD15</f>
        <v>1497946.03</v>
      </c>
      <c r="CY18" s="85">
        <f t="shared" si="36"/>
        <v>0</v>
      </c>
      <c r="CZ18" s="87"/>
      <c r="DA18" s="86">
        <f>'Федеральные  средства  по  МО'!AE19</f>
        <v>0</v>
      </c>
      <c r="DB18" s="88">
        <f>'Проверочная  таблица'!FG15</f>
        <v>0</v>
      </c>
      <c r="DC18" s="85">
        <f t="shared" si="37"/>
        <v>0</v>
      </c>
      <c r="DD18" s="86"/>
      <c r="DE18" s="85">
        <f>'Федеральные  средства  по  МО'!AF19</f>
        <v>0</v>
      </c>
      <c r="DF18" s="87">
        <f t="shared" si="38"/>
        <v>0</v>
      </c>
      <c r="DG18" s="86"/>
      <c r="DH18" s="88"/>
      <c r="DI18" s="85">
        <f>'Федеральные  средства  по  МО'!AG19</f>
        <v>0</v>
      </c>
      <c r="DJ18" s="87">
        <f t="shared" si="39"/>
        <v>0</v>
      </c>
      <c r="DK18" s="86"/>
      <c r="DL18" s="88"/>
      <c r="DM18" s="85">
        <f>'Федеральные  средства  по  МО'!AH19</f>
        <v>0</v>
      </c>
      <c r="DN18" s="87">
        <f t="shared" si="40"/>
        <v>0</v>
      </c>
      <c r="DO18" s="86"/>
      <c r="DP18" s="88"/>
      <c r="DQ18" s="85">
        <f>'Федеральные  средства  по  МО'!AI19</f>
        <v>0</v>
      </c>
      <c r="DR18" s="87">
        <f t="shared" si="41"/>
        <v>0</v>
      </c>
      <c r="DS18" s="86"/>
      <c r="DT18" s="85"/>
      <c r="DU18" s="88">
        <f>'Федеральные  средства  по  МО'!AJ19</f>
        <v>0</v>
      </c>
      <c r="DV18" s="85">
        <f t="shared" si="42"/>
        <v>0</v>
      </c>
      <c r="DW18" s="86"/>
      <c r="DX18" s="85"/>
      <c r="DY18" s="86">
        <f>'Федеральные  средства  по  МО'!AK19</f>
        <v>0</v>
      </c>
      <c r="DZ18" s="85">
        <f t="shared" si="43"/>
        <v>0</v>
      </c>
      <c r="EA18" s="86"/>
      <c r="EB18" s="88"/>
      <c r="EC18" s="85">
        <f>'Федеральные  средства  по  МО'!AL19</f>
        <v>0</v>
      </c>
      <c r="ED18" s="86">
        <f t="shared" si="10"/>
        <v>0</v>
      </c>
      <c r="EE18" s="85"/>
      <c r="EF18" s="86"/>
      <c r="EG18" s="85">
        <f>'Федеральные  средства  по  МО'!AM19</f>
        <v>0</v>
      </c>
      <c r="EH18" s="86">
        <f t="shared" si="11"/>
        <v>0</v>
      </c>
      <c r="EI18" s="85"/>
      <c r="EJ18" s="86"/>
      <c r="EK18" s="88">
        <f>'Федеральные  средства  по  МО'!AN19</f>
        <v>0</v>
      </c>
      <c r="EL18" s="85"/>
      <c r="EM18" s="86"/>
      <c r="EN18" s="85">
        <f t="shared" si="44"/>
        <v>0</v>
      </c>
      <c r="EO18" s="86">
        <f>'Федеральные  средства  по  МО'!AO19</f>
        <v>0</v>
      </c>
      <c r="EP18" s="85"/>
      <c r="EQ18" s="86"/>
      <c r="ER18" s="88">
        <f t="shared" si="45"/>
        <v>0</v>
      </c>
      <c r="ES18" s="459">
        <f>'Федеральные  средства  по  МО'!AP19</f>
        <v>0</v>
      </c>
      <c r="ET18" s="460">
        <f>'Проверочная  таблица'!IR15</f>
        <v>0</v>
      </c>
      <c r="EU18" s="1062">
        <f>'Проверочная  таблица'!JB15</f>
        <v>0</v>
      </c>
      <c r="EV18" s="460">
        <f>'Проверочная  таблица'!JD15</f>
        <v>0</v>
      </c>
      <c r="EW18" s="1062">
        <f>'Федеральные  средства  по  МО'!AQ19</f>
        <v>0</v>
      </c>
      <c r="EX18" s="460">
        <f>'Проверочная  таблица'!IU15</f>
        <v>0</v>
      </c>
      <c r="EY18" s="1062">
        <f>'Проверочная  таблица'!JC15</f>
        <v>0</v>
      </c>
      <c r="EZ18" s="460">
        <f>'Проверочная  таблица'!JE15</f>
        <v>0</v>
      </c>
      <c r="FA18" s="87">
        <f>'Федеральные  средства  по  МО'!AR19</f>
        <v>0</v>
      </c>
      <c r="FB18" s="87"/>
      <c r="FC18" s="86"/>
      <c r="FD18" s="88"/>
      <c r="FE18" s="85">
        <f>'Федеральные  средства  по  МО'!AS19</f>
        <v>0</v>
      </c>
      <c r="FF18" s="87"/>
      <c r="FG18" s="86"/>
      <c r="FH18" s="85"/>
      <c r="FI18" s="87">
        <f>'Федеральные  средства  по  МО'!AT19</f>
        <v>0</v>
      </c>
      <c r="FJ18" s="64"/>
      <c r="FK18" s="65"/>
      <c r="FL18" s="66"/>
      <c r="FM18" s="85">
        <f>'Федеральные  средства  по  МО'!AU19</f>
        <v>0</v>
      </c>
      <c r="FN18" s="65"/>
      <c r="FO18" s="67"/>
      <c r="FP18" s="65"/>
      <c r="FQ18" s="88">
        <f>'Федеральные  средства  по  МО'!AV19</f>
        <v>0</v>
      </c>
      <c r="FR18" s="88">
        <f>'Проверочная  таблица'!JT15</f>
        <v>0</v>
      </c>
      <c r="FS18" s="85">
        <f>'Проверочная  таблица'!KF15</f>
        <v>-90665.96</v>
      </c>
      <c r="FT18" s="85">
        <f>'Проверочная  таблица'!KL15</f>
        <v>90665.96</v>
      </c>
      <c r="FU18" s="86">
        <f>'Федеральные  средства  по  МО'!AW19</f>
        <v>0</v>
      </c>
      <c r="FV18" s="85">
        <f>'Проверочная  таблица'!JW15</f>
        <v>0</v>
      </c>
      <c r="FW18" s="86">
        <f>'Проверочная  таблица'!KI15</f>
        <v>0</v>
      </c>
      <c r="FX18" s="85">
        <f>'Проверочная  таблица'!KO15</f>
        <v>0</v>
      </c>
      <c r="FY18" s="88">
        <f>'Федеральные  средства  по  МО'!AX19</f>
        <v>327695.53000000003</v>
      </c>
      <c r="FZ18" s="85"/>
      <c r="GA18" s="86">
        <f t="shared" si="46"/>
        <v>327695.53000000003</v>
      </c>
      <c r="GB18" s="85"/>
      <c r="GC18" s="85">
        <f>'Федеральные  средства  по  МО'!AY19</f>
        <v>0</v>
      </c>
      <c r="GD18" s="86"/>
      <c r="GE18" s="85">
        <f t="shared" si="47"/>
        <v>0</v>
      </c>
      <c r="GF18" s="86"/>
      <c r="GG18" s="85">
        <f>'Федеральные  средства  по  МО'!AZ19</f>
        <v>54887.65</v>
      </c>
      <c r="GH18" s="87">
        <f t="shared" si="48"/>
        <v>54887.65</v>
      </c>
      <c r="GI18" s="86"/>
      <c r="GJ18" s="88"/>
      <c r="GK18" s="85">
        <f>'Федеральные  средства  по  МО'!BA19</f>
        <v>0</v>
      </c>
      <c r="GL18" s="87">
        <f t="shared" si="49"/>
        <v>0</v>
      </c>
      <c r="GM18" s="86"/>
      <c r="GN18" s="85"/>
      <c r="GO18" s="87">
        <f>'Федеральные  средства  по  МО'!BB19</f>
        <v>0</v>
      </c>
      <c r="GP18" s="65"/>
      <c r="GQ18" s="88">
        <f>'Проверочная  таблица'!MO15</f>
        <v>0</v>
      </c>
      <c r="GR18" s="85">
        <f>'Проверочная  таблица'!MW15</f>
        <v>0</v>
      </c>
      <c r="GS18" s="86">
        <f>'Федеральные  средства  по  МО'!BC19</f>
        <v>0</v>
      </c>
      <c r="GT18" s="88"/>
      <c r="GU18" s="85">
        <f>'Проверочная  таблица'!MS15</f>
        <v>0</v>
      </c>
      <c r="GV18" s="87">
        <f>'Проверочная  таблица'!NA15</f>
        <v>0</v>
      </c>
      <c r="GW18" s="86">
        <f>'Федеральные  средства  по  МО'!BD19</f>
        <v>0</v>
      </c>
      <c r="GX18" s="85">
        <f t="shared" si="50"/>
        <v>0</v>
      </c>
      <c r="GY18" s="86"/>
      <c r="GZ18" s="88"/>
      <c r="HA18" s="85">
        <f>'Федеральные  средства  по  МО'!BE19</f>
        <v>0</v>
      </c>
      <c r="HB18" s="85">
        <f t="shared" si="51"/>
        <v>0</v>
      </c>
      <c r="HC18" s="87"/>
      <c r="HD18" s="65"/>
      <c r="HE18" s="85">
        <f>'Федеральные  средства  по  МО'!BF19</f>
        <v>0</v>
      </c>
      <c r="HF18" s="88">
        <f t="shared" si="52"/>
        <v>0</v>
      </c>
      <c r="HG18" s="85"/>
      <c r="HH18" s="87"/>
      <c r="HI18" s="87">
        <f>'Федеральные  средства  по  МО'!BG19</f>
        <v>0</v>
      </c>
      <c r="HJ18" s="88">
        <f t="shared" si="12"/>
        <v>0</v>
      </c>
      <c r="HK18" s="85"/>
      <c r="HL18" s="87"/>
      <c r="HM18" s="88">
        <f>'Федеральные  средства  по  МО'!BH19</f>
        <v>90665.96</v>
      </c>
      <c r="HN18" s="88">
        <f t="shared" si="53"/>
        <v>90665.96</v>
      </c>
      <c r="HO18" s="85"/>
      <c r="HP18" s="87">
        <f>'Проверочная  таблица'!OF15</f>
        <v>0</v>
      </c>
      <c r="HQ18" s="87">
        <f>'Федеральные  средства  по  МО'!BI19</f>
        <v>90665.96</v>
      </c>
      <c r="HR18" s="88">
        <f t="shared" si="54"/>
        <v>90665.96</v>
      </c>
      <c r="HS18" s="66"/>
      <c r="HT18" s="85">
        <f>'Проверочная  таблица'!OI15</f>
        <v>0</v>
      </c>
      <c r="HU18" s="87">
        <f>'Федеральные  средства  по  МО'!BJ19</f>
        <v>0</v>
      </c>
      <c r="HV18" s="64">
        <f t="shared" si="55"/>
        <v>0</v>
      </c>
      <c r="HW18" s="65"/>
      <c r="HX18" s="66"/>
      <c r="HY18" s="85">
        <f>'Федеральные  средства  по  МО'!BK19</f>
        <v>0</v>
      </c>
      <c r="HZ18" s="64">
        <f t="shared" si="13"/>
        <v>0</v>
      </c>
      <c r="IA18" s="65"/>
      <c r="IB18" s="67"/>
      <c r="IC18" s="88">
        <f>'Федеральные  средства  по  МО'!BL19</f>
        <v>0</v>
      </c>
      <c r="ID18" s="88"/>
      <c r="IE18" s="85"/>
      <c r="IF18" s="87">
        <f>'Проверочная  таблица'!PR15</f>
        <v>0</v>
      </c>
      <c r="IG18" s="86">
        <f>'Федеральные  средства  по  МО'!BM19</f>
        <v>0</v>
      </c>
      <c r="IH18" s="88"/>
      <c r="II18" s="85"/>
      <c r="IJ18" s="87">
        <f>'Проверочная  таблица'!PV15</f>
        <v>0</v>
      </c>
      <c r="IK18" s="88">
        <f>'Федеральные  средства  по  МО'!BN19</f>
        <v>0</v>
      </c>
      <c r="IL18" s="88">
        <f>'Проверочная  таблица'!PZ15</f>
        <v>0</v>
      </c>
      <c r="IM18" s="85">
        <f t="shared" si="56"/>
        <v>0</v>
      </c>
      <c r="IN18" s="87"/>
      <c r="IO18" s="86">
        <f>'Федеральные  средства  по  МО'!BO19</f>
        <v>0</v>
      </c>
      <c r="IP18" s="88">
        <f>'Проверочная  таблица'!QE15</f>
        <v>0</v>
      </c>
      <c r="IQ18" s="85">
        <f t="shared" si="57"/>
        <v>0</v>
      </c>
      <c r="IR18" s="87"/>
      <c r="IS18" s="88">
        <f>'Федеральные  средства  по  МО'!BR19</f>
        <v>0</v>
      </c>
      <c r="IT18" s="85">
        <f t="shared" si="58"/>
        <v>0</v>
      </c>
      <c r="IU18" s="86"/>
      <c r="IV18" s="85"/>
      <c r="IW18" s="87">
        <f>'Федеральные  средства  по  МО'!BS19</f>
        <v>0</v>
      </c>
      <c r="IX18" s="87">
        <f t="shared" si="59"/>
        <v>0</v>
      </c>
      <c r="IY18" s="87"/>
      <c r="IZ18" s="85"/>
      <c r="JA18" s="88">
        <f>'Федеральные  средства  по  МО'!BT19</f>
        <v>0</v>
      </c>
      <c r="JB18" s="85">
        <f>'Проверочная  таблица'!RN15</f>
        <v>0</v>
      </c>
      <c r="JC18" s="86">
        <f>'Проверочная  таблица'!RT15</f>
        <v>0</v>
      </c>
      <c r="JD18" s="85">
        <f>'Проверочная  таблица'!RZ15</f>
        <v>0</v>
      </c>
      <c r="JE18" s="86">
        <f>'Федеральные  средства  по  МО'!BU19</f>
        <v>0</v>
      </c>
      <c r="JF18" s="85">
        <f>'Проверочная  таблица'!RK15</f>
        <v>0</v>
      </c>
      <c r="JG18" s="86">
        <f>'Проверочная  таблица'!RW15</f>
        <v>0</v>
      </c>
      <c r="JH18" s="88">
        <f>'Проверочная  таблица'!SC15</f>
        <v>0</v>
      </c>
      <c r="JI18" s="85">
        <f>'Федеральные  средства  по  МО'!BV19</f>
        <v>0</v>
      </c>
      <c r="JJ18" s="85">
        <f t="shared" si="60"/>
        <v>0</v>
      </c>
      <c r="JK18" s="86"/>
      <c r="JL18" s="85"/>
      <c r="JM18" s="87">
        <f>'Федеральные  средства  по  МО'!BW19</f>
        <v>0</v>
      </c>
      <c r="JN18" s="87">
        <f t="shared" si="61"/>
        <v>0</v>
      </c>
      <c r="JO18" s="86"/>
      <c r="JP18" s="88"/>
      <c r="JQ18" s="88">
        <f>'Федеральные  средства  по  МО'!BX19</f>
        <v>0</v>
      </c>
      <c r="JR18" s="85">
        <f t="shared" si="62"/>
        <v>0</v>
      </c>
      <c r="JS18" s="86"/>
      <c r="JT18" s="85"/>
      <c r="JU18" s="87">
        <f>'Федеральные  средства  по  МО'!BY19</f>
        <v>0</v>
      </c>
      <c r="JV18" s="85">
        <f t="shared" si="63"/>
        <v>0</v>
      </c>
      <c r="JW18" s="86"/>
      <c r="JX18" s="85"/>
      <c r="JY18" s="88">
        <f>'Федеральные  средства  по  МО'!BZ19</f>
        <v>0</v>
      </c>
      <c r="JZ18" s="85">
        <f t="shared" si="64"/>
        <v>0</v>
      </c>
      <c r="KA18" s="86"/>
      <c r="KB18" s="85"/>
      <c r="KC18" s="86">
        <f>'Федеральные  средства  по  МО'!CA19</f>
        <v>0</v>
      </c>
      <c r="KD18" s="85">
        <f t="shared" si="65"/>
        <v>0</v>
      </c>
      <c r="KE18" s="86"/>
      <c r="KF18" s="85"/>
      <c r="KG18" s="86">
        <f>'Федеральные  средства  по  МО'!CB19</f>
        <v>0</v>
      </c>
      <c r="KH18" s="88">
        <f>'Проверочная  таблица'!SZ15</f>
        <v>0</v>
      </c>
      <c r="KI18" s="85">
        <f>'Проверочная  таблица'!UB15</f>
        <v>0</v>
      </c>
      <c r="KJ18" s="86">
        <f>'Проверочная  таблица'!UP15</f>
        <v>0</v>
      </c>
      <c r="KK18" s="85">
        <f>'Федеральные  средства  по  МО'!CC19</f>
        <v>0</v>
      </c>
      <c r="KL18" s="86">
        <f>'Проверочная  таблица'!TG15</f>
        <v>0</v>
      </c>
      <c r="KM18" s="85">
        <f>'Проверочная  таблица'!UI15</f>
        <v>0</v>
      </c>
      <c r="KN18" s="87">
        <f>'Проверочная  таблица'!UW15</f>
        <v>0</v>
      </c>
      <c r="KO18" s="86">
        <f>'Федеральные  средства  по  МО'!CD19</f>
        <v>0</v>
      </c>
      <c r="KP18" s="85">
        <f>'Проверочная  таблица'!TB15</f>
        <v>0</v>
      </c>
      <c r="KQ18" s="86">
        <f t="shared" si="66"/>
        <v>0</v>
      </c>
      <c r="KR18" s="85"/>
      <c r="KS18" s="86">
        <f>'Федеральные  средства  по  МО'!CE19</f>
        <v>0</v>
      </c>
      <c r="KT18" s="85">
        <f>'Проверочная  таблица'!TI15</f>
        <v>0</v>
      </c>
      <c r="KU18" s="86">
        <f t="shared" si="67"/>
        <v>0</v>
      </c>
      <c r="KV18" s="88"/>
      <c r="KW18" s="88">
        <f>'Федеральные  средства  по  МО'!CF19</f>
        <v>202175900</v>
      </c>
      <c r="KX18" s="88">
        <f>'Проверочная  таблица'!TD15</f>
        <v>202175900</v>
      </c>
      <c r="KY18" s="85">
        <f>'Проверочная  таблица'!UF15</f>
        <v>0</v>
      </c>
      <c r="KZ18" s="87"/>
      <c r="LA18" s="86">
        <f>'Федеральные  средства  по  МО'!CG19</f>
        <v>60301082.659999996</v>
      </c>
      <c r="LB18" s="88">
        <f>'Проверочная  таблица'!TK15</f>
        <v>60301082.659999996</v>
      </c>
      <c r="LC18" s="85">
        <f>'Проверочная  таблица'!TY15</f>
        <v>0</v>
      </c>
      <c r="LD18" s="85"/>
    </row>
    <row r="19" spans="1:316" ht="25.5" customHeight="1" x14ac:dyDescent="0.25">
      <c r="A19" s="70" t="s">
        <v>327</v>
      </c>
      <c r="B19" s="71">
        <f t="shared" si="14"/>
        <v>14035494.83</v>
      </c>
      <c r="C19" s="72">
        <f t="shared" si="15"/>
        <v>128818.66000000015</v>
      </c>
      <c r="D19" s="72">
        <f t="shared" si="16"/>
        <v>13842654.720000001</v>
      </c>
      <c r="E19" s="72">
        <f t="shared" si="17"/>
        <v>64021.45</v>
      </c>
      <c r="F19" s="71">
        <f t="shared" si="18"/>
        <v>1494819.4199999997</v>
      </c>
      <c r="G19" s="72">
        <f t="shared" si="19"/>
        <v>64021.45</v>
      </c>
      <c r="H19" s="72">
        <f t="shared" si="1"/>
        <v>1430797.9699999997</v>
      </c>
      <c r="I19" s="72">
        <f t="shared" si="2"/>
        <v>0</v>
      </c>
      <c r="J19" s="54"/>
      <c r="K19" s="55">
        <f>M19-'Федеральные  средства  по  МО'!N20-'Федеральные  средства  по  МО'!D20</f>
        <v>0</v>
      </c>
      <c r="L19" s="55">
        <f>Q19-'Федеральные  средства  по  МО'!O20-'Федеральные  средства  по  МО'!E20</f>
        <v>0</v>
      </c>
      <c r="M19" s="1083">
        <f t="shared" si="20"/>
        <v>40532273.990000002</v>
      </c>
      <c r="N19" s="72">
        <f t="shared" si="21"/>
        <v>19237118.66</v>
      </c>
      <c r="O19" s="72">
        <f t="shared" si="22"/>
        <v>13842654.720000001</v>
      </c>
      <c r="P19" s="72">
        <f t="shared" si="23"/>
        <v>64021.45</v>
      </c>
      <c r="Q19" s="1083">
        <f t="shared" si="24"/>
        <v>1494819.4199999997</v>
      </c>
      <c r="R19" s="72">
        <f t="shared" si="25"/>
        <v>64021.45</v>
      </c>
      <c r="S19" s="72">
        <f t="shared" si="26"/>
        <v>1430797.9699999997</v>
      </c>
      <c r="T19" s="72">
        <f t="shared" si="27"/>
        <v>0</v>
      </c>
      <c r="U19" s="73">
        <f>'Федеральные  средства  по  МО'!F20</f>
        <v>0</v>
      </c>
      <c r="V19" s="69">
        <f>'Проверочная  таблица'!BT23</f>
        <v>0</v>
      </c>
      <c r="W19" s="74">
        <f>'Проверочная  таблица'!BX23</f>
        <v>0</v>
      </c>
      <c r="X19" s="69">
        <f>'Проверочная  таблица'!BZ23</f>
        <v>0</v>
      </c>
      <c r="Y19" s="73">
        <f>'Федеральные  средства  по  МО'!G20</f>
        <v>0</v>
      </c>
      <c r="Z19" s="69">
        <f>'Проверочная  таблица'!BU23</f>
        <v>0</v>
      </c>
      <c r="AA19" s="74">
        <f>'Проверочная  таблица'!BY23</f>
        <v>0</v>
      </c>
      <c r="AB19" s="69">
        <f>'Проверочная  таблица'!CA23</f>
        <v>0</v>
      </c>
      <c r="AC19" s="1043">
        <f>'Федеральные  средства  по  МО'!H20</f>
        <v>19108300</v>
      </c>
      <c r="AD19" s="75">
        <f t="shared" si="28"/>
        <v>19108300</v>
      </c>
      <c r="AE19" s="69"/>
      <c r="AF19" s="76"/>
      <c r="AG19" s="1043">
        <f>'Федеральные  средства  по  МО'!I20</f>
        <v>0</v>
      </c>
      <c r="AH19" s="75">
        <f t="shared" si="29"/>
        <v>0</v>
      </c>
      <c r="AI19" s="69"/>
      <c r="AJ19" s="74"/>
      <c r="AK19" s="73">
        <f>'Федеральные  средства  по  МО'!J20</f>
        <v>0</v>
      </c>
      <c r="AL19" s="75">
        <f t="shared" si="30"/>
        <v>0</v>
      </c>
      <c r="AM19" s="69"/>
      <c r="AN19" s="76"/>
      <c r="AO19" s="73">
        <f>'Федеральные  средства  по  МО'!K20</f>
        <v>0</v>
      </c>
      <c r="AP19" s="75">
        <f t="shared" si="31"/>
        <v>0</v>
      </c>
      <c r="AQ19" s="69"/>
      <c r="AR19" s="74"/>
      <c r="AS19" s="77">
        <f>'Федеральные  средства  по  МО'!P20</f>
        <v>0</v>
      </c>
      <c r="AT19" s="74">
        <f>'Проверочная  таблица'!CX23</f>
        <v>0</v>
      </c>
      <c r="AU19" s="69"/>
      <c r="AV19" s="76"/>
      <c r="AW19" s="78">
        <f>'Федеральные  средства  по  МО'!Q20</f>
        <v>0</v>
      </c>
      <c r="AX19" s="74">
        <f>'Проверочная  таблица'!DE23</f>
        <v>0</v>
      </c>
      <c r="AY19" s="75"/>
      <c r="AZ19" s="69"/>
      <c r="BA19" s="78">
        <f>'Федеральные  средства  по  МО'!R20</f>
        <v>0</v>
      </c>
      <c r="BB19" s="74">
        <f>'Проверочная  таблица'!CZ23</f>
        <v>0</v>
      </c>
      <c r="BC19" s="69"/>
      <c r="BD19" s="74">
        <f>'Проверочная  таблица'!DL23</f>
        <v>0</v>
      </c>
      <c r="BE19" s="77">
        <f>'Федеральные  средства  по  МО'!S20</f>
        <v>0</v>
      </c>
      <c r="BF19" s="74">
        <f>'Проверочная  таблица'!DG23</f>
        <v>0</v>
      </c>
      <c r="BG19" s="69"/>
      <c r="BH19" s="74">
        <f>'Проверочная  таблица'!DO23</f>
        <v>0</v>
      </c>
      <c r="BI19" s="77">
        <f>'Федеральные  средства  по  МО'!T20</f>
        <v>0</v>
      </c>
      <c r="BJ19" s="74">
        <f t="shared" si="32"/>
        <v>0</v>
      </c>
      <c r="BK19" s="69"/>
      <c r="BL19" s="74"/>
      <c r="BM19" s="79">
        <f>'Федеральные  средства  по  МО'!U20</f>
        <v>0</v>
      </c>
      <c r="BN19" s="74">
        <f t="shared" si="33"/>
        <v>0</v>
      </c>
      <c r="BO19" s="75"/>
      <c r="BP19" s="75"/>
      <c r="BQ19" s="73">
        <f>'Федеральные  средства  по  МО'!V20</f>
        <v>0</v>
      </c>
      <c r="BR19" s="75">
        <f t="shared" si="4"/>
        <v>0</v>
      </c>
      <c r="BS19" s="74"/>
      <c r="BT19" s="69"/>
      <c r="BU19" s="73">
        <f>'Федеральные  средства  по  МО'!W20</f>
        <v>0</v>
      </c>
      <c r="BV19" s="75">
        <f t="shared" si="5"/>
        <v>0</v>
      </c>
      <c r="BW19" s="74"/>
      <c r="BX19" s="69"/>
      <c r="BY19" s="73">
        <f>'Федеральные  средства  по  МО'!X20</f>
        <v>0</v>
      </c>
      <c r="BZ19" s="75">
        <f t="shared" si="6"/>
        <v>0</v>
      </c>
      <c r="CA19" s="74"/>
      <c r="CB19" s="69"/>
      <c r="CC19" s="73">
        <f>'Федеральные  средства  по  МО'!Y20</f>
        <v>0</v>
      </c>
      <c r="CD19" s="75">
        <f t="shared" si="7"/>
        <v>0</v>
      </c>
      <c r="CE19" s="74"/>
      <c r="CF19" s="69"/>
      <c r="CG19" s="73">
        <f>'Федеральные  средства  по  МО'!Z20</f>
        <v>0</v>
      </c>
      <c r="CH19" s="75">
        <f t="shared" si="8"/>
        <v>0</v>
      </c>
      <c r="CI19" s="69"/>
      <c r="CJ19" s="76"/>
      <c r="CK19" s="73">
        <f>'Федеральные  средства  по  МО'!AA20</f>
        <v>0</v>
      </c>
      <c r="CL19" s="75">
        <f t="shared" si="9"/>
        <v>0</v>
      </c>
      <c r="CM19" s="74"/>
      <c r="CN19" s="75"/>
      <c r="CO19" s="78">
        <f>'Федеральные  средства  по  МО'!AB20</f>
        <v>0</v>
      </c>
      <c r="CP19" s="74">
        <f t="shared" si="34"/>
        <v>0</v>
      </c>
      <c r="CQ19" s="69"/>
      <c r="CR19" s="74"/>
      <c r="CS19" s="77">
        <f>'Федеральные  средства  по  МО'!AC20</f>
        <v>0</v>
      </c>
      <c r="CT19" s="74">
        <f t="shared" si="35"/>
        <v>0</v>
      </c>
      <c r="CU19" s="69"/>
      <c r="CV19" s="74"/>
      <c r="CW19" s="78">
        <f>'Федеральные  средства  по  МО'!AD20</f>
        <v>0</v>
      </c>
      <c r="CX19" s="76">
        <f>'Проверочная  таблица'!FD23</f>
        <v>0</v>
      </c>
      <c r="CY19" s="74">
        <f t="shared" si="36"/>
        <v>0</v>
      </c>
      <c r="CZ19" s="75"/>
      <c r="DA19" s="77">
        <f>'Федеральные  средства  по  МО'!AE20</f>
        <v>0</v>
      </c>
      <c r="DB19" s="76">
        <f>'Проверочная  таблица'!FG23</f>
        <v>0</v>
      </c>
      <c r="DC19" s="74">
        <f t="shared" si="37"/>
        <v>0</v>
      </c>
      <c r="DD19" s="69"/>
      <c r="DE19" s="73">
        <f>'Федеральные  средства  по  МО'!AF20</f>
        <v>0</v>
      </c>
      <c r="DF19" s="75">
        <f t="shared" si="38"/>
        <v>0</v>
      </c>
      <c r="DG19" s="69"/>
      <c r="DH19" s="76"/>
      <c r="DI19" s="73">
        <f>'Федеральные  средства  по  МО'!AG20</f>
        <v>0</v>
      </c>
      <c r="DJ19" s="75">
        <f t="shared" si="39"/>
        <v>0</v>
      </c>
      <c r="DK19" s="69"/>
      <c r="DL19" s="76"/>
      <c r="DM19" s="73">
        <f>'Федеральные  средства  по  МО'!AH20</f>
        <v>0</v>
      </c>
      <c r="DN19" s="75">
        <f t="shared" si="40"/>
        <v>0</v>
      </c>
      <c r="DO19" s="69"/>
      <c r="DP19" s="76"/>
      <c r="DQ19" s="73">
        <f>'Федеральные  средства  по  МО'!AI20</f>
        <v>0</v>
      </c>
      <c r="DR19" s="75">
        <f t="shared" si="41"/>
        <v>0</v>
      </c>
      <c r="DS19" s="69"/>
      <c r="DT19" s="74"/>
      <c r="DU19" s="78">
        <f>'Федеральные  средства  по  МО'!AJ20</f>
        <v>0</v>
      </c>
      <c r="DV19" s="74">
        <f t="shared" si="42"/>
        <v>0</v>
      </c>
      <c r="DW19" s="69"/>
      <c r="DX19" s="74"/>
      <c r="DY19" s="77">
        <f>'Федеральные  средства  по  МО'!AK20</f>
        <v>0</v>
      </c>
      <c r="DZ19" s="74">
        <f t="shared" si="43"/>
        <v>0</v>
      </c>
      <c r="EA19" s="69"/>
      <c r="EB19" s="76"/>
      <c r="EC19" s="73">
        <f>'Федеральные  средства  по  МО'!AL20</f>
        <v>0</v>
      </c>
      <c r="ED19" s="69">
        <f t="shared" si="10"/>
        <v>0</v>
      </c>
      <c r="EE19" s="74"/>
      <c r="EF19" s="69"/>
      <c r="EG19" s="73">
        <f>'Федеральные  средства  по  МО'!AM20</f>
        <v>0</v>
      </c>
      <c r="EH19" s="69">
        <f t="shared" si="11"/>
        <v>0</v>
      </c>
      <c r="EI19" s="74"/>
      <c r="EJ19" s="69"/>
      <c r="EK19" s="78">
        <f>'Федеральные  средства  по  МО'!AN20</f>
        <v>0</v>
      </c>
      <c r="EL19" s="74"/>
      <c r="EM19" s="69"/>
      <c r="EN19" s="74">
        <f t="shared" si="44"/>
        <v>0</v>
      </c>
      <c r="EO19" s="77">
        <f>'Федеральные  средства  по  МО'!AO20</f>
        <v>0</v>
      </c>
      <c r="EP19" s="74"/>
      <c r="EQ19" s="69"/>
      <c r="ER19" s="76">
        <f t="shared" si="45"/>
        <v>0</v>
      </c>
      <c r="ES19" s="1055">
        <f>'Федеральные  средства  по  МО'!AP20</f>
        <v>0</v>
      </c>
      <c r="ET19" s="74">
        <f>'Проверочная  таблица'!IR23</f>
        <v>0</v>
      </c>
      <c r="EU19" s="69">
        <f>'Проверочная  таблица'!JB23</f>
        <v>0</v>
      </c>
      <c r="EV19" s="74">
        <f>'Проверочная  таблица'!JD23</f>
        <v>0</v>
      </c>
      <c r="EW19" s="1057">
        <f>'Федеральные  средства  по  МО'!AQ20</f>
        <v>0</v>
      </c>
      <c r="EX19" s="74">
        <f>'Проверочная  таблица'!IU23</f>
        <v>0</v>
      </c>
      <c r="EY19" s="69">
        <f>'Проверочная  таблица'!JC23</f>
        <v>0</v>
      </c>
      <c r="EZ19" s="74">
        <f>'Проверочная  таблица'!JE23</f>
        <v>0</v>
      </c>
      <c r="FA19" s="79">
        <f>'Федеральные  средства  по  МО'!AR20</f>
        <v>0</v>
      </c>
      <c r="FB19" s="75"/>
      <c r="FC19" s="69"/>
      <c r="FD19" s="76"/>
      <c r="FE19" s="73">
        <f>'Федеральные  средства  по  МО'!AS20</f>
        <v>0</v>
      </c>
      <c r="FF19" s="75"/>
      <c r="FG19" s="69"/>
      <c r="FH19" s="74"/>
      <c r="FI19" s="79">
        <f>'Федеральные  средства  по  МО'!AT20</f>
        <v>0</v>
      </c>
      <c r="FJ19" s="75"/>
      <c r="FK19" s="69"/>
      <c r="FL19" s="76"/>
      <c r="FM19" s="73">
        <f>'Федеральные  средства  по  МО'!AU20</f>
        <v>0</v>
      </c>
      <c r="FN19" s="69"/>
      <c r="FO19" s="74"/>
      <c r="FP19" s="69"/>
      <c r="FQ19" s="78">
        <f>'Федеральные  средства  по  МО'!AV20</f>
        <v>0</v>
      </c>
      <c r="FR19" s="76">
        <f>'Проверочная  таблица'!JT23</f>
        <v>0</v>
      </c>
      <c r="FS19" s="74">
        <f>'Проверочная  таблица'!KF23</f>
        <v>-64021.45</v>
      </c>
      <c r="FT19" s="74">
        <f>'Проверочная  таблица'!KL23</f>
        <v>64021.45</v>
      </c>
      <c r="FU19" s="77">
        <f>'Федеральные  средства  по  МО'!AW20</f>
        <v>0</v>
      </c>
      <c r="FV19" s="74">
        <f>'Проверочная  таблица'!JW23</f>
        <v>0</v>
      </c>
      <c r="FW19" s="69">
        <f>'Проверочная  таблица'!KI23</f>
        <v>0</v>
      </c>
      <c r="FX19" s="74">
        <f>'Проверочная  таблица'!KO23</f>
        <v>0</v>
      </c>
      <c r="FY19" s="78">
        <f>'Федеральные  средства  по  МО'!AX20</f>
        <v>329453.15999999997</v>
      </c>
      <c r="FZ19" s="74"/>
      <c r="GA19" s="69">
        <f t="shared" si="46"/>
        <v>329453.15999999997</v>
      </c>
      <c r="GB19" s="74"/>
      <c r="GC19" s="73">
        <f>'Федеральные  средства  по  МО'!AY20</f>
        <v>0</v>
      </c>
      <c r="GD19" s="69"/>
      <c r="GE19" s="74">
        <f t="shared" si="47"/>
        <v>0</v>
      </c>
      <c r="GF19" s="69"/>
      <c r="GG19" s="73">
        <f>'Федеральные  средства  по  МО'!AZ20</f>
        <v>64797.21</v>
      </c>
      <c r="GH19" s="75">
        <f t="shared" si="48"/>
        <v>64797.21</v>
      </c>
      <c r="GI19" s="69"/>
      <c r="GJ19" s="76"/>
      <c r="GK19" s="73">
        <f>'Федеральные  средства  по  МО'!BA20</f>
        <v>0</v>
      </c>
      <c r="GL19" s="75">
        <f t="shared" si="49"/>
        <v>0</v>
      </c>
      <c r="GM19" s="69"/>
      <c r="GN19" s="74"/>
      <c r="GO19" s="79">
        <f>'Федеральные  средства  по  МО'!BB20</f>
        <v>0</v>
      </c>
      <c r="GP19" s="69"/>
      <c r="GQ19" s="76">
        <f>'Проверочная  таблица'!MO23</f>
        <v>0</v>
      </c>
      <c r="GR19" s="74">
        <f>'Проверочная  таблица'!MW23</f>
        <v>0</v>
      </c>
      <c r="GS19" s="77">
        <f>'Федеральные  средства  по  МО'!BC20</f>
        <v>0</v>
      </c>
      <c r="GT19" s="76"/>
      <c r="GU19" s="74">
        <f>'Проверочная  таблица'!MS23</f>
        <v>0</v>
      </c>
      <c r="GV19" s="75">
        <f>'Проверочная  таблица'!NA23</f>
        <v>0</v>
      </c>
      <c r="GW19" s="77">
        <f>'Федеральные  средства  по  МО'!BD20</f>
        <v>0</v>
      </c>
      <c r="GX19" s="74">
        <f t="shared" si="50"/>
        <v>0</v>
      </c>
      <c r="GY19" s="69"/>
      <c r="GZ19" s="76"/>
      <c r="HA19" s="73">
        <f>'Федеральные  средства  по  МО'!BE20</f>
        <v>0</v>
      </c>
      <c r="HB19" s="74">
        <f t="shared" si="51"/>
        <v>0</v>
      </c>
      <c r="HC19" s="75"/>
      <c r="HD19" s="69"/>
      <c r="HE19" s="73">
        <f>'Федеральные  средства  по  МО'!BF20</f>
        <v>0</v>
      </c>
      <c r="HF19" s="76">
        <f t="shared" si="52"/>
        <v>0</v>
      </c>
      <c r="HG19" s="74"/>
      <c r="HH19" s="75"/>
      <c r="HI19" s="79">
        <f>'Федеральные  средства  по  МО'!BG20</f>
        <v>0</v>
      </c>
      <c r="HJ19" s="76">
        <f t="shared" si="12"/>
        <v>0</v>
      </c>
      <c r="HK19" s="74"/>
      <c r="HL19" s="75"/>
      <c r="HM19" s="78">
        <f>'Федеральные  средства  по  МО'!BH20</f>
        <v>64021.45</v>
      </c>
      <c r="HN19" s="76">
        <f t="shared" si="53"/>
        <v>64021.45</v>
      </c>
      <c r="HO19" s="74"/>
      <c r="HP19" s="75">
        <f>'Проверочная  таблица'!OF23</f>
        <v>0</v>
      </c>
      <c r="HQ19" s="79">
        <f>'Федеральные  средства  по  МО'!BI20</f>
        <v>64021.45</v>
      </c>
      <c r="HR19" s="76">
        <f t="shared" si="54"/>
        <v>64021.45</v>
      </c>
      <c r="HS19" s="76"/>
      <c r="HT19" s="74">
        <f>'Проверочная  таблица'!OI23</f>
        <v>0</v>
      </c>
      <c r="HU19" s="79">
        <f>'Федеральные  средства  по  МО'!BJ20</f>
        <v>0</v>
      </c>
      <c r="HV19" s="75">
        <f t="shared" si="55"/>
        <v>0</v>
      </c>
      <c r="HW19" s="69"/>
      <c r="HX19" s="76"/>
      <c r="HY19" s="73">
        <f>'Федеральные  средства  по  МО'!BK20</f>
        <v>0</v>
      </c>
      <c r="HZ19" s="75">
        <f t="shared" si="13"/>
        <v>0</v>
      </c>
      <c r="IA19" s="69"/>
      <c r="IB19" s="74"/>
      <c r="IC19" s="78">
        <f>'Федеральные  средства  по  МО'!BL20</f>
        <v>7388479.1600000001</v>
      </c>
      <c r="ID19" s="76"/>
      <c r="IE19" s="74"/>
      <c r="IF19" s="75">
        <f>'Проверочная  таблица'!PR23</f>
        <v>0</v>
      </c>
      <c r="IG19" s="77">
        <f>'Федеральные  средства  по  МО'!BM20</f>
        <v>0</v>
      </c>
      <c r="IH19" s="76"/>
      <c r="II19" s="74"/>
      <c r="IJ19" s="75">
        <f>'Проверочная  таблица'!PV23</f>
        <v>0</v>
      </c>
      <c r="IK19" s="78">
        <f>'Федеральные  средства  по  МО'!BN20</f>
        <v>0</v>
      </c>
      <c r="IL19" s="76">
        <f>'Проверочная  таблица'!PZ23</f>
        <v>0</v>
      </c>
      <c r="IM19" s="74">
        <f t="shared" si="56"/>
        <v>0</v>
      </c>
      <c r="IN19" s="75"/>
      <c r="IO19" s="77">
        <f>'Федеральные  средства  по  МО'!BO20</f>
        <v>0</v>
      </c>
      <c r="IP19" s="76">
        <f>'Проверочная  таблица'!QE23</f>
        <v>0</v>
      </c>
      <c r="IQ19" s="74">
        <f t="shared" si="57"/>
        <v>0</v>
      </c>
      <c r="IR19" s="75"/>
      <c r="IS19" s="78">
        <f>'Федеральные  средства  по  МО'!BR20</f>
        <v>0</v>
      </c>
      <c r="IT19" s="74">
        <f t="shared" si="58"/>
        <v>0</v>
      </c>
      <c r="IU19" s="69"/>
      <c r="IV19" s="74"/>
      <c r="IW19" s="79">
        <f>'Федеральные  средства  по  МО'!BS20</f>
        <v>0</v>
      </c>
      <c r="IX19" s="75">
        <f t="shared" si="59"/>
        <v>0</v>
      </c>
      <c r="IY19" s="75"/>
      <c r="IZ19" s="74"/>
      <c r="JA19" s="78">
        <f>'Федеральные  средства  по  МО'!BT20</f>
        <v>0</v>
      </c>
      <c r="JB19" s="74">
        <f>'Проверочная  таблица'!RN23</f>
        <v>0</v>
      </c>
      <c r="JC19" s="69">
        <f>'Проверочная  таблица'!RT23</f>
        <v>0</v>
      </c>
      <c r="JD19" s="74">
        <f>'Проверочная  таблица'!RZ23</f>
        <v>0</v>
      </c>
      <c r="JE19" s="77">
        <f>'Федеральные  средства  по  МО'!BU20</f>
        <v>0</v>
      </c>
      <c r="JF19" s="74">
        <f>'Проверочная  таблица'!RK23</f>
        <v>0</v>
      </c>
      <c r="JG19" s="69">
        <f>'Проверочная  таблица'!RW23</f>
        <v>0</v>
      </c>
      <c r="JH19" s="76">
        <f>'Проверочная  таблица'!SC23</f>
        <v>0</v>
      </c>
      <c r="JI19" s="73">
        <f>'Федеральные  средства  по  МО'!BV20</f>
        <v>0</v>
      </c>
      <c r="JJ19" s="74">
        <f t="shared" si="60"/>
        <v>0</v>
      </c>
      <c r="JK19" s="69"/>
      <c r="JL19" s="74"/>
      <c r="JM19" s="79">
        <f>'Федеральные  средства  по  МО'!BW20</f>
        <v>0</v>
      </c>
      <c r="JN19" s="75">
        <f t="shared" si="61"/>
        <v>0</v>
      </c>
      <c r="JO19" s="69"/>
      <c r="JP19" s="76"/>
      <c r="JQ19" s="78">
        <f>'Федеральные  средства  по  МО'!BX20</f>
        <v>0</v>
      </c>
      <c r="JR19" s="74">
        <f t="shared" si="62"/>
        <v>0</v>
      </c>
      <c r="JS19" s="69"/>
      <c r="JT19" s="74"/>
      <c r="JU19" s="79">
        <f>'Федеральные  средства  по  МО'!BY20</f>
        <v>0</v>
      </c>
      <c r="JV19" s="74">
        <f t="shared" si="63"/>
        <v>0</v>
      </c>
      <c r="JW19" s="69"/>
      <c r="JX19" s="74"/>
      <c r="JY19" s="78">
        <f>'Федеральные  средства  по  МО'!BZ20</f>
        <v>0</v>
      </c>
      <c r="JZ19" s="74">
        <f t="shared" si="64"/>
        <v>0</v>
      </c>
      <c r="KA19" s="69"/>
      <c r="KB19" s="74"/>
      <c r="KC19" s="77">
        <f>'Федеральные  средства  по  МО'!CA20</f>
        <v>0</v>
      </c>
      <c r="KD19" s="74">
        <f t="shared" si="65"/>
        <v>0</v>
      </c>
      <c r="KE19" s="69"/>
      <c r="KF19" s="74"/>
      <c r="KG19" s="77">
        <f>'Федеральные  средства  по  МО'!CB20</f>
        <v>13577223.01</v>
      </c>
      <c r="KH19" s="76">
        <f>'Проверочная  таблица'!SZ23</f>
        <v>0</v>
      </c>
      <c r="KI19" s="74">
        <f>'Проверочная  таблица'!UB23</f>
        <v>13577223.01</v>
      </c>
      <c r="KJ19" s="69">
        <f>'Проверочная  таблица'!UP23</f>
        <v>0</v>
      </c>
      <c r="KK19" s="1043">
        <f>'Федеральные  средства  по  МО'!CC20</f>
        <v>1430797.9699999997</v>
      </c>
      <c r="KL19" s="69">
        <f>'Проверочная  таблица'!TG23</f>
        <v>0</v>
      </c>
      <c r="KM19" s="74">
        <f>'Проверочная  таблица'!UI23</f>
        <v>1430797.9699999997</v>
      </c>
      <c r="KN19" s="75">
        <f>'Проверочная  таблица'!UW23</f>
        <v>0</v>
      </c>
      <c r="KO19" s="77">
        <f>'Федеральные  средства  по  МО'!CD20</f>
        <v>0</v>
      </c>
      <c r="KP19" s="74">
        <f>'Проверочная  таблица'!TB23</f>
        <v>0</v>
      </c>
      <c r="KQ19" s="69">
        <f t="shared" si="66"/>
        <v>0</v>
      </c>
      <c r="KR19" s="74"/>
      <c r="KS19" s="77">
        <f>'Федеральные  средства  по  МО'!CE20</f>
        <v>0</v>
      </c>
      <c r="KT19" s="74">
        <f>'Проверочная  таблица'!TI23</f>
        <v>0</v>
      </c>
      <c r="KU19" s="69">
        <f t="shared" si="67"/>
        <v>0</v>
      </c>
      <c r="KV19" s="76"/>
      <c r="KW19" s="78">
        <f>'Федеральные  средства  по  МО'!CF20</f>
        <v>0</v>
      </c>
      <c r="KX19" s="76">
        <f>'Проверочная  таблица'!TD23</f>
        <v>0</v>
      </c>
      <c r="KY19" s="74">
        <f>'Проверочная  таблица'!UF23</f>
        <v>0</v>
      </c>
      <c r="KZ19" s="75"/>
      <c r="LA19" s="77">
        <f>'Федеральные  средства  по  МО'!CG20</f>
        <v>0</v>
      </c>
      <c r="LB19" s="76">
        <f>'Проверочная  таблица'!TK23</f>
        <v>0</v>
      </c>
      <c r="LC19" s="74">
        <f>'Проверочная  таблица'!TY23</f>
        <v>0</v>
      </c>
      <c r="LD19" s="74"/>
    </row>
    <row r="20" spans="1:316" ht="25.5" customHeight="1" x14ac:dyDescent="0.25">
      <c r="A20" s="54" t="s">
        <v>328</v>
      </c>
      <c r="B20" s="71">
        <f t="shared" si="14"/>
        <v>511903618.58999997</v>
      </c>
      <c r="C20" s="72">
        <f t="shared" si="15"/>
        <v>473667739.94999999</v>
      </c>
      <c r="D20" s="72">
        <f t="shared" si="16"/>
        <v>21579200.02</v>
      </c>
      <c r="E20" s="72">
        <f t="shared" si="17"/>
        <v>16656678.619999999</v>
      </c>
      <c r="F20" s="71">
        <f t="shared" si="18"/>
        <v>288454834.94</v>
      </c>
      <c r="G20" s="72">
        <f t="shared" si="19"/>
        <v>270337100.52999997</v>
      </c>
      <c r="H20" s="72">
        <f t="shared" si="1"/>
        <v>6449185.9900000002</v>
      </c>
      <c r="I20" s="72">
        <f t="shared" si="2"/>
        <v>11668548.42</v>
      </c>
      <c r="J20" s="54"/>
      <c r="K20" s="55">
        <f>M20-'Федеральные  средства  по  МО'!N21-'Федеральные  средства  по  МО'!D21</f>
        <v>0</v>
      </c>
      <c r="L20" s="55">
        <f>Q20-'Федеральные  средства  по  МО'!O21-'Федеральные  средства  по  МО'!E21</f>
        <v>0</v>
      </c>
      <c r="M20" s="1083">
        <f t="shared" si="20"/>
        <v>736408309.06999993</v>
      </c>
      <c r="N20" s="72">
        <f t="shared" si="21"/>
        <v>682819190.13</v>
      </c>
      <c r="O20" s="72">
        <f t="shared" si="22"/>
        <v>21579200.02</v>
      </c>
      <c r="P20" s="72">
        <f t="shared" si="23"/>
        <v>16656678.619999999</v>
      </c>
      <c r="Q20" s="1083">
        <f t="shared" si="24"/>
        <v>288454834.94</v>
      </c>
      <c r="R20" s="72">
        <f t="shared" si="25"/>
        <v>270337100.52999997</v>
      </c>
      <c r="S20" s="72">
        <f t="shared" si="26"/>
        <v>6449185.9900000002</v>
      </c>
      <c r="T20" s="72">
        <f t="shared" si="27"/>
        <v>11668548.42</v>
      </c>
      <c r="U20" s="73">
        <f>'Федеральные  средства  по  МО'!F21</f>
        <v>0</v>
      </c>
      <c r="V20" s="69">
        <f>'Проверочная  таблица'!BT24</f>
        <v>0</v>
      </c>
      <c r="W20" s="74">
        <f>'Проверочная  таблица'!BX24</f>
        <v>0</v>
      </c>
      <c r="X20" s="69">
        <f>'Проверочная  таблица'!BZ24</f>
        <v>0</v>
      </c>
      <c r="Y20" s="73">
        <f>'Федеральные  средства  по  МО'!G21</f>
        <v>0</v>
      </c>
      <c r="Z20" s="69">
        <f>'Проверочная  таблица'!BU24</f>
        <v>0</v>
      </c>
      <c r="AA20" s="74">
        <f>'Проверочная  таблица'!BY24</f>
        <v>0</v>
      </c>
      <c r="AB20" s="69">
        <f>'Проверочная  таблица'!CA24</f>
        <v>0</v>
      </c>
      <c r="AC20" s="1043">
        <f>'Федеральные  средства  по  МО'!H21</f>
        <v>188669450.18000001</v>
      </c>
      <c r="AD20" s="75">
        <f t="shared" si="28"/>
        <v>188669450.18000001</v>
      </c>
      <c r="AE20" s="69"/>
      <c r="AF20" s="76"/>
      <c r="AG20" s="1043">
        <f>'Федеральные  средства  по  МО'!I21</f>
        <v>0</v>
      </c>
      <c r="AH20" s="75">
        <f t="shared" si="29"/>
        <v>0</v>
      </c>
      <c r="AI20" s="69"/>
      <c r="AJ20" s="74"/>
      <c r="AK20" s="73">
        <f>'Федеральные  средства  по  МО'!J21</f>
        <v>20482000</v>
      </c>
      <c r="AL20" s="75">
        <f t="shared" si="30"/>
        <v>20482000</v>
      </c>
      <c r="AM20" s="69"/>
      <c r="AN20" s="76"/>
      <c r="AO20" s="73">
        <f>'Федеральные  средства  по  МО'!K21</f>
        <v>0</v>
      </c>
      <c r="AP20" s="75">
        <f t="shared" si="31"/>
        <v>0</v>
      </c>
      <c r="AQ20" s="69"/>
      <c r="AR20" s="74"/>
      <c r="AS20" s="77">
        <f>'Федеральные  средства  по  МО'!P21</f>
        <v>0</v>
      </c>
      <c r="AT20" s="74">
        <f>'Проверочная  таблица'!CX24</f>
        <v>0</v>
      </c>
      <c r="AU20" s="80"/>
      <c r="AV20" s="81"/>
      <c r="AW20" s="78">
        <f>'Федеральные  средства  по  МО'!Q21</f>
        <v>0</v>
      </c>
      <c r="AX20" s="74">
        <f>'Проверочная  таблица'!DE24</f>
        <v>0</v>
      </c>
      <c r="AY20" s="82"/>
      <c r="AZ20" s="80"/>
      <c r="BA20" s="78">
        <f>'Федеральные  средства  по  МО'!R21</f>
        <v>0</v>
      </c>
      <c r="BB20" s="74">
        <f>'Проверочная  таблица'!CZ24</f>
        <v>0</v>
      </c>
      <c r="BC20" s="69"/>
      <c r="BD20" s="74">
        <f>'Проверочная  таблица'!DL24</f>
        <v>0</v>
      </c>
      <c r="BE20" s="77">
        <f>'Федеральные  средства  по  МО'!S21</f>
        <v>0</v>
      </c>
      <c r="BF20" s="74">
        <f>'Проверочная  таблица'!DG24</f>
        <v>0</v>
      </c>
      <c r="BG20" s="80"/>
      <c r="BH20" s="74">
        <f>'Проверочная  таблица'!DO24</f>
        <v>0</v>
      </c>
      <c r="BI20" s="77">
        <f>'Федеральные  средства  по  МО'!T21</f>
        <v>0</v>
      </c>
      <c r="BJ20" s="74">
        <f t="shared" si="32"/>
        <v>0</v>
      </c>
      <c r="BK20" s="69"/>
      <c r="BL20" s="74"/>
      <c r="BM20" s="79">
        <f>'Федеральные  средства  по  МО'!U21</f>
        <v>0</v>
      </c>
      <c r="BN20" s="74">
        <f t="shared" si="33"/>
        <v>0</v>
      </c>
      <c r="BO20" s="82"/>
      <c r="BP20" s="82"/>
      <c r="BQ20" s="73">
        <f>'Федеральные  средства  по  МО'!V21</f>
        <v>0</v>
      </c>
      <c r="BR20" s="82">
        <f t="shared" si="4"/>
        <v>0</v>
      </c>
      <c r="BS20" s="83"/>
      <c r="BT20" s="80"/>
      <c r="BU20" s="73">
        <f>'Федеральные  средства  по  МО'!W21</f>
        <v>0</v>
      </c>
      <c r="BV20" s="82">
        <f t="shared" si="5"/>
        <v>0</v>
      </c>
      <c r="BW20" s="83"/>
      <c r="BX20" s="80"/>
      <c r="BY20" s="73">
        <f>'Федеральные  средства  по  МО'!X21</f>
        <v>0</v>
      </c>
      <c r="BZ20" s="82">
        <f t="shared" si="6"/>
        <v>0</v>
      </c>
      <c r="CA20" s="83"/>
      <c r="CB20" s="80"/>
      <c r="CC20" s="73">
        <f>'Федеральные  средства  по  МО'!Y21</f>
        <v>0</v>
      </c>
      <c r="CD20" s="82">
        <f t="shared" si="7"/>
        <v>0</v>
      </c>
      <c r="CE20" s="83"/>
      <c r="CF20" s="80"/>
      <c r="CG20" s="73">
        <f>'Федеральные  средства  по  МО'!Z21</f>
        <v>0</v>
      </c>
      <c r="CH20" s="82">
        <f t="shared" si="8"/>
        <v>0</v>
      </c>
      <c r="CI20" s="80"/>
      <c r="CJ20" s="81"/>
      <c r="CK20" s="73">
        <f>'Федеральные  средства  по  МО'!AA21</f>
        <v>0</v>
      </c>
      <c r="CL20" s="82">
        <f t="shared" si="9"/>
        <v>0</v>
      </c>
      <c r="CM20" s="83"/>
      <c r="CN20" s="82"/>
      <c r="CO20" s="78">
        <f>'Федеральные  средства  по  МО'!AB21</f>
        <v>0</v>
      </c>
      <c r="CP20" s="74">
        <f t="shared" si="34"/>
        <v>0</v>
      </c>
      <c r="CQ20" s="69"/>
      <c r="CR20" s="74"/>
      <c r="CS20" s="77">
        <f>'Федеральные  средства  по  МО'!AC21</f>
        <v>0</v>
      </c>
      <c r="CT20" s="74">
        <f t="shared" si="35"/>
        <v>0</v>
      </c>
      <c r="CU20" s="69"/>
      <c r="CV20" s="74"/>
      <c r="CW20" s="78">
        <f>'Федеральные  средства  по  МО'!AD21</f>
        <v>0</v>
      </c>
      <c r="CX20" s="76">
        <f>'Проверочная  таблица'!FD24</f>
        <v>0</v>
      </c>
      <c r="CY20" s="74">
        <f t="shared" si="36"/>
        <v>0</v>
      </c>
      <c r="CZ20" s="75"/>
      <c r="DA20" s="77">
        <f>'Федеральные  средства  по  МО'!AE21</f>
        <v>0</v>
      </c>
      <c r="DB20" s="76">
        <f>'Проверочная  таблица'!FG24</f>
        <v>0</v>
      </c>
      <c r="DC20" s="74">
        <f t="shared" si="37"/>
        <v>0</v>
      </c>
      <c r="DD20" s="69"/>
      <c r="DE20" s="73">
        <f>'Федеральные  средства  по  МО'!AF21</f>
        <v>0</v>
      </c>
      <c r="DF20" s="75">
        <f t="shared" si="38"/>
        <v>0</v>
      </c>
      <c r="DG20" s="69"/>
      <c r="DH20" s="76"/>
      <c r="DI20" s="73">
        <f>'Федеральные  средства  по  МО'!AG21</f>
        <v>0</v>
      </c>
      <c r="DJ20" s="75">
        <f t="shared" si="39"/>
        <v>0</v>
      </c>
      <c r="DK20" s="69"/>
      <c r="DL20" s="76"/>
      <c r="DM20" s="73">
        <f>'Федеральные  средства  по  МО'!AH21</f>
        <v>77044000</v>
      </c>
      <c r="DN20" s="75">
        <f t="shared" si="40"/>
        <v>77044000</v>
      </c>
      <c r="DO20" s="69"/>
      <c r="DP20" s="76"/>
      <c r="DQ20" s="73">
        <f>'Федеральные  средства  по  МО'!AI21</f>
        <v>0</v>
      </c>
      <c r="DR20" s="75">
        <f t="shared" si="41"/>
        <v>0</v>
      </c>
      <c r="DS20" s="69"/>
      <c r="DT20" s="74"/>
      <c r="DU20" s="78">
        <f>'Федеральные  средства  по  МО'!AJ21</f>
        <v>0</v>
      </c>
      <c r="DV20" s="74">
        <f t="shared" si="42"/>
        <v>0</v>
      </c>
      <c r="DW20" s="69"/>
      <c r="DX20" s="74"/>
      <c r="DY20" s="77">
        <f>'Федеральные  средства  по  МО'!AK21</f>
        <v>0</v>
      </c>
      <c r="DZ20" s="74">
        <f t="shared" si="43"/>
        <v>0</v>
      </c>
      <c r="EA20" s="69"/>
      <c r="EB20" s="76"/>
      <c r="EC20" s="73">
        <f>'Федеральные  средства  по  МО'!AL21</f>
        <v>0</v>
      </c>
      <c r="ED20" s="69">
        <f t="shared" si="10"/>
        <v>0</v>
      </c>
      <c r="EE20" s="74"/>
      <c r="EF20" s="69"/>
      <c r="EG20" s="73">
        <f>'Федеральные  средства  по  МО'!AM21</f>
        <v>0</v>
      </c>
      <c r="EH20" s="69">
        <f t="shared" si="11"/>
        <v>0</v>
      </c>
      <c r="EI20" s="74"/>
      <c r="EJ20" s="69"/>
      <c r="EK20" s="78">
        <f>'Федеральные  средства  по  МО'!AN21</f>
        <v>821052.83999999985</v>
      </c>
      <c r="EL20" s="74"/>
      <c r="EM20" s="69"/>
      <c r="EN20" s="74">
        <f t="shared" si="44"/>
        <v>821052.83999999985</v>
      </c>
      <c r="EO20" s="77">
        <f>'Федеральные  средства  по  МО'!AO21</f>
        <v>0</v>
      </c>
      <c r="EP20" s="74"/>
      <c r="EQ20" s="69"/>
      <c r="ER20" s="76">
        <f t="shared" si="45"/>
        <v>0</v>
      </c>
      <c r="ES20" s="1055">
        <f>'Федеральные  средства  по  МО'!AP21</f>
        <v>0</v>
      </c>
      <c r="ET20" s="74">
        <f>'Проверочная  таблица'!IR24</f>
        <v>0</v>
      </c>
      <c r="EU20" s="69">
        <f>'Проверочная  таблица'!JB24</f>
        <v>0</v>
      </c>
      <c r="EV20" s="74">
        <f>'Проверочная  таблица'!JD24</f>
        <v>0</v>
      </c>
      <c r="EW20" s="1057">
        <f>'Федеральные  средства  по  МО'!AQ21</f>
        <v>0</v>
      </c>
      <c r="EX20" s="74">
        <f>'Проверочная  таблица'!IU24</f>
        <v>0</v>
      </c>
      <c r="EY20" s="69">
        <f>'Проверочная  таблица'!JC24</f>
        <v>0</v>
      </c>
      <c r="EZ20" s="74">
        <f>'Проверочная  таблица'!JE24</f>
        <v>0</v>
      </c>
      <c r="FA20" s="79">
        <f>'Федеральные  средства  по  МО'!AR21</f>
        <v>0</v>
      </c>
      <c r="FB20" s="75"/>
      <c r="FC20" s="69"/>
      <c r="FD20" s="76"/>
      <c r="FE20" s="73">
        <f>'Федеральные  средства  по  МО'!AS21</f>
        <v>0</v>
      </c>
      <c r="FF20" s="75"/>
      <c r="FG20" s="69"/>
      <c r="FH20" s="74"/>
      <c r="FI20" s="79">
        <f>'Федеральные  средства  по  МО'!AT21</f>
        <v>0</v>
      </c>
      <c r="FJ20" s="82"/>
      <c r="FK20" s="80"/>
      <c r="FL20" s="81"/>
      <c r="FM20" s="73">
        <f>'Федеральные  средства  по  МО'!AU21</f>
        <v>0</v>
      </c>
      <c r="FN20" s="80"/>
      <c r="FO20" s="83"/>
      <c r="FP20" s="80"/>
      <c r="FQ20" s="78">
        <f>'Федеральные  средства  по  МО'!AV21</f>
        <v>0</v>
      </c>
      <c r="FR20" s="76">
        <f>'Проверочная  таблица'!JT24</f>
        <v>0</v>
      </c>
      <c r="FS20" s="74">
        <f>'Проверочная  таблица'!KF24</f>
        <v>-235625.78</v>
      </c>
      <c r="FT20" s="74">
        <f>'Проверочная  таблица'!KL24</f>
        <v>235625.78</v>
      </c>
      <c r="FU20" s="77">
        <f>'Федеральные  средства  по  МО'!AW21</f>
        <v>0</v>
      </c>
      <c r="FV20" s="74">
        <f>'Проверочная  таблица'!JW24</f>
        <v>0</v>
      </c>
      <c r="FW20" s="69">
        <f>'Проверочная  таблица'!KI24</f>
        <v>0</v>
      </c>
      <c r="FX20" s="74">
        <f>'Проверочная  таблица'!KO24</f>
        <v>0</v>
      </c>
      <c r="FY20" s="78">
        <f>'Федеральные  средства  по  МО'!AX21</f>
        <v>317539.19</v>
      </c>
      <c r="FZ20" s="74"/>
      <c r="GA20" s="69">
        <f t="shared" si="46"/>
        <v>317539.19</v>
      </c>
      <c r="GB20" s="74"/>
      <c r="GC20" s="73">
        <f>'Федеральные  средства  по  МО'!AY21</f>
        <v>0</v>
      </c>
      <c r="GD20" s="69"/>
      <c r="GE20" s="74">
        <f t="shared" si="47"/>
        <v>0</v>
      </c>
      <c r="GF20" s="69"/>
      <c r="GG20" s="73">
        <f>'Федеральные  средства  по  МО'!AZ21</f>
        <v>56014.17</v>
      </c>
      <c r="GH20" s="75">
        <f t="shared" si="48"/>
        <v>56014.17</v>
      </c>
      <c r="GI20" s="69"/>
      <c r="GJ20" s="76"/>
      <c r="GK20" s="73">
        <f>'Федеральные  средства  по  МО'!BA21</f>
        <v>0</v>
      </c>
      <c r="GL20" s="75">
        <f t="shared" si="49"/>
        <v>0</v>
      </c>
      <c r="GM20" s="69"/>
      <c r="GN20" s="74"/>
      <c r="GO20" s="79">
        <f>'Федеральные  средства  по  МО'!BB21</f>
        <v>0</v>
      </c>
      <c r="GP20" s="80"/>
      <c r="GQ20" s="76">
        <f>'Проверочная  таблица'!MO24</f>
        <v>0</v>
      </c>
      <c r="GR20" s="74">
        <f>'Проверочная  таблица'!MW24</f>
        <v>0</v>
      </c>
      <c r="GS20" s="77">
        <f>'Федеральные  средства  по  МО'!BC21</f>
        <v>0</v>
      </c>
      <c r="GT20" s="76"/>
      <c r="GU20" s="74">
        <f>'Проверочная  таблица'!MS24</f>
        <v>0</v>
      </c>
      <c r="GV20" s="75">
        <f>'Проверочная  таблица'!NA24</f>
        <v>0</v>
      </c>
      <c r="GW20" s="77">
        <f>'Федеральные  средства  по  МО'!BD21</f>
        <v>0</v>
      </c>
      <c r="GX20" s="74">
        <f t="shared" si="50"/>
        <v>0</v>
      </c>
      <c r="GY20" s="69"/>
      <c r="GZ20" s="76"/>
      <c r="HA20" s="73">
        <f>'Федеральные  средства  по  МО'!BE21</f>
        <v>0</v>
      </c>
      <c r="HB20" s="74">
        <f t="shared" si="51"/>
        <v>0</v>
      </c>
      <c r="HC20" s="75"/>
      <c r="HD20" s="80"/>
      <c r="HE20" s="73">
        <f>'Федеральные  средства  по  МО'!BF21</f>
        <v>0</v>
      </c>
      <c r="HF20" s="76">
        <f t="shared" si="52"/>
        <v>0</v>
      </c>
      <c r="HG20" s="74"/>
      <c r="HH20" s="75"/>
      <c r="HI20" s="79">
        <f>'Федеральные  средства  по  МО'!BG21</f>
        <v>0</v>
      </c>
      <c r="HJ20" s="76">
        <f t="shared" si="12"/>
        <v>0</v>
      </c>
      <c r="HK20" s="74"/>
      <c r="HL20" s="75"/>
      <c r="HM20" s="78">
        <f>'Федеральные  средства  по  МО'!BH21</f>
        <v>235625.78</v>
      </c>
      <c r="HN20" s="76">
        <f t="shared" si="53"/>
        <v>235625.78</v>
      </c>
      <c r="HO20" s="74"/>
      <c r="HP20" s="75">
        <f>'Проверочная  таблица'!OF24</f>
        <v>0</v>
      </c>
      <c r="HQ20" s="79">
        <f>'Федеральные  средства  по  МО'!BI21</f>
        <v>235625.78</v>
      </c>
      <c r="HR20" s="76">
        <f t="shared" si="54"/>
        <v>235625.78</v>
      </c>
      <c r="HS20" s="81"/>
      <c r="HT20" s="74">
        <f>'Проверочная  таблица'!OI24</f>
        <v>0</v>
      </c>
      <c r="HU20" s="79">
        <f>'Федеральные  средства  по  МО'!BJ21</f>
        <v>0</v>
      </c>
      <c r="HV20" s="82">
        <f t="shared" si="55"/>
        <v>0</v>
      </c>
      <c r="HW20" s="80"/>
      <c r="HX20" s="81"/>
      <c r="HY20" s="73">
        <f>'Федеральные  средства  по  МО'!BK21</f>
        <v>0</v>
      </c>
      <c r="HZ20" s="82">
        <f t="shared" si="13"/>
        <v>0</v>
      </c>
      <c r="IA20" s="80"/>
      <c r="IB20" s="83"/>
      <c r="IC20" s="78">
        <f>'Федеральные  средства  по  МО'!BL21</f>
        <v>30953240.300000001</v>
      </c>
      <c r="ID20" s="76"/>
      <c r="IE20" s="74"/>
      <c r="IF20" s="75">
        <f>'Проверочная  таблица'!PR24</f>
        <v>15600000</v>
      </c>
      <c r="IG20" s="77">
        <f>'Федеральные  средства  по  МО'!BM21</f>
        <v>11668548.42</v>
      </c>
      <c r="IH20" s="76"/>
      <c r="II20" s="74"/>
      <c r="IJ20" s="75">
        <f>'Проверочная  таблица'!PV24</f>
        <v>11668548.42</v>
      </c>
      <c r="IK20" s="78">
        <f>'Федеральные  средства  по  МО'!BN21</f>
        <v>0</v>
      </c>
      <c r="IL20" s="76">
        <f>'Проверочная  таблица'!PZ24</f>
        <v>0</v>
      </c>
      <c r="IM20" s="74">
        <f t="shared" si="56"/>
        <v>0</v>
      </c>
      <c r="IN20" s="75"/>
      <c r="IO20" s="77">
        <f>'Федеральные  средства  по  МО'!BO21</f>
        <v>0</v>
      </c>
      <c r="IP20" s="76">
        <f>'Проверочная  таблица'!QE24</f>
        <v>0</v>
      </c>
      <c r="IQ20" s="74">
        <f t="shared" si="57"/>
        <v>0</v>
      </c>
      <c r="IR20" s="75"/>
      <c r="IS20" s="78">
        <f>'Федеральные  средства  по  МО'!BR21</f>
        <v>0</v>
      </c>
      <c r="IT20" s="74">
        <f t="shared" si="58"/>
        <v>0</v>
      </c>
      <c r="IU20" s="69"/>
      <c r="IV20" s="74"/>
      <c r="IW20" s="79">
        <f>'Федеральные  средства  по  МО'!BS21</f>
        <v>0</v>
      </c>
      <c r="IX20" s="75">
        <f t="shared" si="59"/>
        <v>0</v>
      </c>
      <c r="IY20" s="75"/>
      <c r="IZ20" s="74"/>
      <c r="JA20" s="78">
        <f>'Федеральные  средства  по  МО'!BT21</f>
        <v>0</v>
      </c>
      <c r="JB20" s="74">
        <f>'Проверочная  таблица'!RN24</f>
        <v>0</v>
      </c>
      <c r="JC20" s="69">
        <f>'Проверочная  таблица'!RT24</f>
        <v>0</v>
      </c>
      <c r="JD20" s="74">
        <f>'Проверочная  таблица'!RZ24</f>
        <v>0</v>
      </c>
      <c r="JE20" s="77">
        <f>'Федеральные  средства  по  МО'!BU21</f>
        <v>0</v>
      </c>
      <c r="JF20" s="74">
        <f>'Проверочная  таблица'!RK24</f>
        <v>0</v>
      </c>
      <c r="JG20" s="69">
        <f>'Проверочная  таблица'!RW24</f>
        <v>0</v>
      </c>
      <c r="JH20" s="76">
        <f>'Проверочная  таблица'!SC24</f>
        <v>0</v>
      </c>
      <c r="JI20" s="73">
        <f>'Федеральные  средства  по  МО'!BV21</f>
        <v>0</v>
      </c>
      <c r="JJ20" s="74">
        <f t="shared" si="60"/>
        <v>0</v>
      </c>
      <c r="JK20" s="69"/>
      <c r="JL20" s="74"/>
      <c r="JM20" s="79">
        <f>'Федеральные  средства  по  МО'!BW21</f>
        <v>0</v>
      </c>
      <c r="JN20" s="75">
        <f t="shared" si="61"/>
        <v>0</v>
      </c>
      <c r="JO20" s="69"/>
      <c r="JP20" s="76"/>
      <c r="JQ20" s="78">
        <f>'Федеральные  средства  по  МО'!BX21</f>
        <v>0</v>
      </c>
      <c r="JR20" s="74">
        <f t="shared" si="62"/>
        <v>0</v>
      </c>
      <c r="JS20" s="69"/>
      <c r="JT20" s="74"/>
      <c r="JU20" s="79">
        <f>'Федеральные  средства  по  МО'!BY21</f>
        <v>0</v>
      </c>
      <c r="JV20" s="74">
        <f t="shared" si="63"/>
        <v>0</v>
      </c>
      <c r="JW20" s="69"/>
      <c r="JX20" s="74"/>
      <c r="JY20" s="78">
        <f>'Федеральные  средства  по  МО'!BZ21</f>
        <v>0</v>
      </c>
      <c r="JZ20" s="74">
        <f t="shared" si="64"/>
        <v>0</v>
      </c>
      <c r="KA20" s="69"/>
      <c r="KB20" s="74"/>
      <c r="KC20" s="77">
        <f>'Федеральные  средства  по  МО'!CA21</f>
        <v>0</v>
      </c>
      <c r="KD20" s="74">
        <f t="shared" si="65"/>
        <v>0</v>
      </c>
      <c r="KE20" s="69"/>
      <c r="KF20" s="74"/>
      <c r="KG20" s="77">
        <f>'Федеральные  средства  по  МО'!CB21</f>
        <v>21497286.609999999</v>
      </c>
      <c r="KH20" s="76">
        <f>'Проверочная  таблица'!SZ24</f>
        <v>0</v>
      </c>
      <c r="KI20" s="74">
        <f>'Проверочная  таблица'!UB24</f>
        <v>21497286.609999999</v>
      </c>
      <c r="KJ20" s="69">
        <f>'Проверочная  таблица'!UP24</f>
        <v>0</v>
      </c>
      <c r="KK20" s="1043">
        <f>'Федеральные  средства  по  МО'!CC21</f>
        <v>6449185.9900000002</v>
      </c>
      <c r="KL20" s="69">
        <f>'Проверочная  таблица'!TG24</f>
        <v>0</v>
      </c>
      <c r="KM20" s="74">
        <f>'Проверочная  таблица'!UI24</f>
        <v>6449185.9900000002</v>
      </c>
      <c r="KN20" s="75">
        <f>'Проверочная  таблица'!UW24</f>
        <v>0</v>
      </c>
      <c r="KO20" s="77">
        <f>'Федеральные  средства  по  МО'!CD21</f>
        <v>0</v>
      </c>
      <c r="KP20" s="74">
        <f>'Проверочная  таблица'!TB24</f>
        <v>0</v>
      </c>
      <c r="KQ20" s="69">
        <f t="shared" si="66"/>
        <v>0</v>
      </c>
      <c r="KR20" s="74"/>
      <c r="KS20" s="77">
        <f>'Федеральные  средства  по  МО'!CE21</f>
        <v>0</v>
      </c>
      <c r="KT20" s="74">
        <f>'Проверочная  таблица'!TI24</f>
        <v>0</v>
      </c>
      <c r="KU20" s="69">
        <f t="shared" si="67"/>
        <v>0</v>
      </c>
      <c r="KV20" s="76"/>
      <c r="KW20" s="78">
        <f>'Федеральные  средства  по  МО'!CF21</f>
        <v>396332100</v>
      </c>
      <c r="KX20" s="76">
        <f>'Проверочная  таблица'!TD24</f>
        <v>396332100</v>
      </c>
      <c r="KY20" s="74">
        <f>'Проверочная  таблица'!UF24</f>
        <v>0</v>
      </c>
      <c r="KZ20" s="75"/>
      <c r="LA20" s="77">
        <f>'Федеральные  средства  по  МО'!CG21</f>
        <v>270101474.75</v>
      </c>
      <c r="LB20" s="76">
        <f>'Проверочная  таблица'!TK24</f>
        <v>270101474.75</v>
      </c>
      <c r="LC20" s="74">
        <f>'Проверочная  таблица'!TY24</f>
        <v>0</v>
      </c>
      <c r="LD20" s="74"/>
    </row>
    <row r="21" spans="1:316" ht="25.5" customHeight="1" x14ac:dyDescent="0.25">
      <c r="A21" s="70" t="s">
        <v>329</v>
      </c>
      <c r="B21" s="71">
        <f t="shared" si="14"/>
        <v>537845.09999999881</v>
      </c>
      <c r="C21" s="72">
        <f t="shared" si="15"/>
        <v>183505.46999999881</v>
      </c>
      <c r="D21" s="72">
        <f t="shared" si="16"/>
        <v>248277.68</v>
      </c>
      <c r="E21" s="72">
        <f t="shared" si="17"/>
        <v>106061.95</v>
      </c>
      <c r="F21" s="71">
        <f t="shared" si="18"/>
        <v>106061.94999999995</v>
      </c>
      <c r="G21" s="72">
        <f t="shared" si="19"/>
        <v>106061.94999999995</v>
      </c>
      <c r="H21" s="72">
        <f t="shared" si="1"/>
        <v>0</v>
      </c>
      <c r="I21" s="72">
        <f t="shared" si="2"/>
        <v>0</v>
      </c>
      <c r="J21" s="54"/>
      <c r="K21" s="55">
        <f>M21-'Федеральные  средства  по  МО'!N22-'Федеральные  средства  по  МО'!D22</f>
        <v>0</v>
      </c>
      <c r="L21" s="55">
        <f>Q21-'Федеральные  средства  по  МО'!O22-'Федеральные  средства  по  МО'!E22</f>
        <v>0</v>
      </c>
      <c r="M21" s="1083">
        <f t="shared" si="20"/>
        <v>41793020.560000002</v>
      </c>
      <c r="N21" s="72">
        <f t="shared" si="21"/>
        <v>31652849.539999999</v>
      </c>
      <c r="O21" s="72">
        <f t="shared" si="22"/>
        <v>248277.68</v>
      </c>
      <c r="P21" s="72">
        <f t="shared" si="23"/>
        <v>106061.95</v>
      </c>
      <c r="Q21" s="1083">
        <f t="shared" si="24"/>
        <v>560061.94999999995</v>
      </c>
      <c r="R21" s="72">
        <f t="shared" si="25"/>
        <v>560061.94999999995</v>
      </c>
      <c r="S21" s="72">
        <f t="shared" si="26"/>
        <v>0</v>
      </c>
      <c r="T21" s="72">
        <f t="shared" si="27"/>
        <v>0</v>
      </c>
      <c r="U21" s="73">
        <f>'Федеральные  средства  по  МО'!F22</f>
        <v>0</v>
      </c>
      <c r="V21" s="69">
        <f>'Проверочная  таблица'!BT25</f>
        <v>0</v>
      </c>
      <c r="W21" s="74">
        <f>'Проверочная  таблица'!BX25</f>
        <v>0</v>
      </c>
      <c r="X21" s="69">
        <f>'Проверочная  таблица'!BZ25</f>
        <v>0</v>
      </c>
      <c r="Y21" s="73">
        <f>'Федеральные  средства  по  МО'!G22</f>
        <v>0</v>
      </c>
      <c r="Z21" s="69">
        <f>'Проверочная  таблица'!BU25</f>
        <v>0</v>
      </c>
      <c r="AA21" s="74">
        <f>'Проверочная  таблица'!BY25</f>
        <v>0</v>
      </c>
      <c r="AB21" s="69">
        <f>'Проверочная  таблица'!CA25</f>
        <v>0</v>
      </c>
      <c r="AC21" s="1043">
        <f>'Федеральные  средства  по  МО'!H22</f>
        <v>31015344.07</v>
      </c>
      <c r="AD21" s="75">
        <f t="shared" si="28"/>
        <v>31015344.07</v>
      </c>
      <c r="AE21" s="69"/>
      <c r="AF21" s="76"/>
      <c r="AG21" s="1043">
        <f>'Федеральные  средства  по  МО'!I22</f>
        <v>0</v>
      </c>
      <c r="AH21" s="75">
        <f t="shared" si="29"/>
        <v>0</v>
      </c>
      <c r="AI21" s="69"/>
      <c r="AJ21" s="74"/>
      <c r="AK21" s="73">
        <f>'Федеральные  средства  по  МО'!J22</f>
        <v>454000</v>
      </c>
      <c r="AL21" s="75">
        <f t="shared" si="30"/>
        <v>454000</v>
      </c>
      <c r="AM21" s="69"/>
      <c r="AN21" s="76"/>
      <c r="AO21" s="73">
        <f>'Федеральные  средства  по  МО'!K22</f>
        <v>454000</v>
      </c>
      <c r="AP21" s="75">
        <f t="shared" si="31"/>
        <v>454000</v>
      </c>
      <c r="AQ21" s="69"/>
      <c r="AR21" s="74"/>
      <c r="AS21" s="77">
        <f>'Федеральные  средства  по  МО'!P22</f>
        <v>0</v>
      </c>
      <c r="AT21" s="74">
        <f>'Проверочная  таблица'!CX25</f>
        <v>0</v>
      </c>
      <c r="AU21" s="69"/>
      <c r="AV21" s="76"/>
      <c r="AW21" s="78">
        <f>'Федеральные  средства  по  МО'!Q22</f>
        <v>0</v>
      </c>
      <c r="AX21" s="74">
        <f>'Проверочная  таблица'!DE25</f>
        <v>0</v>
      </c>
      <c r="AY21" s="75"/>
      <c r="AZ21" s="69"/>
      <c r="BA21" s="78">
        <f>'Федеральные  средства  по  МО'!R22</f>
        <v>0</v>
      </c>
      <c r="BB21" s="74">
        <f>'Проверочная  таблица'!CZ25</f>
        <v>0</v>
      </c>
      <c r="BC21" s="69"/>
      <c r="BD21" s="74">
        <f>'Проверочная  таблица'!DL25</f>
        <v>0</v>
      </c>
      <c r="BE21" s="77">
        <f>'Федеральные  средства  по  МО'!S22</f>
        <v>0</v>
      </c>
      <c r="BF21" s="74">
        <f>'Проверочная  таблица'!DG25</f>
        <v>0</v>
      </c>
      <c r="BG21" s="69"/>
      <c r="BH21" s="74">
        <f>'Проверочная  таблица'!DO25</f>
        <v>0</v>
      </c>
      <c r="BI21" s="77">
        <f>'Федеральные  средства  по  МО'!T22</f>
        <v>0</v>
      </c>
      <c r="BJ21" s="74">
        <f t="shared" si="32"/>
        <v>0</v>
      </c>
      <c r="BK21" s="69"/>
      <c r="BL21" s="74"/>
      <c r="BM21" s="79">
        <f>'Федеральные  средства  по  МО'!U22</f>
        <v>0</v>
      </c>
      <c r="BN21" s="74">
        <f t="shared" si="33"/>
        <v>0</v>
      </c>
      <c r="BO21" s="75"/>
      <c r="BP21" s="75"/>
      <c r="BQ21" s="73">
        <f>'Федеральные  средства  по  МО'!V22</f>
        <v>0</v>
      </c>
      <c r="BR21" s="75">
        <f t="shared" si="4"/>
        <v>0</v>
      </c>
      <c r="BS21" s="74"/>
      <c r="BT21" s="69"/>
      <c r="BU21" s="73">
        <f>'Федеральные  средства  по  МО'!W22</f>
        <v>0</v>
      </c>
      <c r="BV21" s="75">
        <f t="shared" si="5"/>
        <v>0</v>
      </c>
      <c r="BW21" s="74"/>
      <c r="BX21" s="69"/>
      <c r="BY21" s="73">
        <f>'Федеральные  средства  по  МО'!X22</f>
        <v>0</v>
      </c>
      <c r="BZ21" s="75">
        <f t="shared" si="6"/>
        <v>0</v>
      </c>
      <c r="CA21" s="74"/>
      <c r="CB21" s="69"/>
      <c r="CC21" s="73">
        <f>'Федеральные  средства  по  МО'!Y22</f>
        <v>0</v>
      </c>
      <c r="CD21" s="75">
        <f t="shared" si="7"/>
        <v>0</v>
      </c>
      <c r="CE21" s="74"/>
      <c r="CF21" s="69"/>
      <c r="CG21" s="73">
        <f>'Федеральные  средства  по  МО'!Z22</f>
        <v>0</v>
      </c>
      <c r="CH21" s="75">
        <f t="shared" si="8"/>
        <v>0</v>
      </c>
      <c r="CI21" s="69"/>
      <c r="CJ21" s="76"/>
      <c r="CK21" s="73">
        <f>'Федеральные  средства  по  МО'!AA22</f>
        <v>0</v>
      </c>
      <c r="CL21" s="75">
        <f t="shared" si="9"/>
        <v>0</v>
      </c>
      <c r="CM21" s="74"/>
      <c r="CN21" s="75"/>
      <c r="CO21" s="78">
        <f>'Федеральные  средства  по  МО'!AB22</f>
        <v>0</v>
      </c>
      <c r="CP21" s="74">
        <f t="shared" si="34"/>
        <v>0</v>
      </c>
      <c r="CQ21" s="69"/>
      <c r="CR21" s="74"/>
      <c r="CS21" s="77">
        <f>'Федеральные  средства  по  МО'!AC22</f>
        <v>0</v>
      </c>
      <c r="CT21" s="74">
        <f t="shared" si="35"/>
        <v>0</v>
      </c>
      <c r="CU21" s="69"/>
      <c r="CV21" s="74"/>
      <c r="CW21" s="78">
        <f>'Федеральные  средства  по  МО'!AD22</f>
        <v>0</v>
      </c>
      <c r="CX21" s="76">
        <f>'Проверочная  таблица'!FD25</f>
        <v>0</v>
      </c>
      <c r="CY21" s="74">
        <f t="shared" si="36"/>
        <v>0</v>
      </c>
      <c r="CZ21" s="75"/>
      <c r="DA21" s="77">
        <f>'Федеральные  средства  по  МО'!AE22</f>
        <v>0</v>
      </c>
      <c r="DB21" s="76">
        <f>'Проверочная  таблица'!FG25</f>
        <v>0</v>
      </c>
      <c r="DC21" s="74">
        <f t="shared" si="37"/>
        <v>0</v>
      </c>
      <c r="DD21" s="69"/>
      <c r="DE21" s="73">
        <f>'Федеральные  средства  по  МО'!AF22</f>
        <v>0</v>
      </c>
      <c r="DF21" s="75">
        <f t="shared" si="38"/>
        <v>0</v>
      </c>
      <c r="DG21" s="69"/>
      <c r="DH21" s="76"/>
      <c r="DI21" s="73">
        <f>'Федеральные  средства  по  МО'!AG22</f>
        <v>0</v>
      </c>
      <c r="DJ21" s="75">
        <f t="shared" si="39"/>
        <v>0</v>
      </c>
      <c r="DK21" s="69"/>
      <c r="DL21" s="76"/>
      <c r="DM21" s="73">
        <f>'Федеральные  средства  по  МО'!AH22</f>
        <v>0</v>
      </c>
      <c r="DN21" s="75">
        <f t="shared" si="40"/>
        <v>0</v>
      </c>
      <c r="DO21" s="69"/>
      <c r="DP21" s="76"/>
      <c r="DQ21" s="73">
        <f>'Федеральные  средства  по  МО'!AI22</f>
        <v>0</v>
      </c>
      <c r="DR21" s="75">
        <f t="shared" si="41"/>
        <v>0</v>
      </c>
      <c r="DS21" s="69"/>
      <c r="DT21" s="74"/>
      <c r="DU21" s="78">
        <f>'Федеральные  средства  по  МО'!AJ22</f>
        <v>0</v>
      </c>
      <c r="DV21" s="74">
        <f t="shared" si="42"/>
        <v>0</v>
      </c>
      <c r="DW21" s="69"/>
      <c r="DX21" s="74"/>
      <c r="DY21" s="77">
        <f>'Федеральные  средства  по  МО'!AK22</f>
        <v>0</v>
      </c>
      <c r="DZ21" s="74">
        <f t="shared" si="43"/>
        <v>0</v>
      </c>
      <c r="EA21" s="69"/>
      <c r="EB21" s="76"/>
      <c r="EC21" s="73">
        <f>'Федеральные  средства  по  МО'!AL22</f>
        <v>0</v>
      </c>
      <c r="ED21" s="69">
        <f t="shared" si="10"/>
        <v>0</v>
      </c>
      <c r="EE21" s="74"/>
      <c r="EF21" s="69"/>
      <c r="EG21" s="73">
        <f>'Федеральные  средства  по  МО'!AM22</f>
        <v>0</v>
      </c>
      <c r="EH21" s="69">
        <f t="shared" si="11"/>
        <v>0</v>
      </c>
      <c r="EI21" s="74"/>
      <c r="EJ21" s="69"/>
      <c r="EK21" s="78">
        <f>'Федеральные  средства  по  МО'!AN22</f>
        <v>0</v>
      </c>
      <c r="EL21" s="74"/>
      <c r="EM21" s="69"/>
      <c r="EN21" s="74">
        <f t="shared" si="44"/>
        <v>0</v>
      </c>
      <c r="EO21" s="77">
        <f>'Федеральные  средства  по  МО'!AO22</f>
        <v>0</v>
      </c>
      <c r="EP21" s="74"/>
      <c r="EQ21" s="69"/>
      <c r="ER21" s="76">
        <f t="shared" si="45"/>
        <v>0</v>
      </c>
      <c r="ES21" s="1055">
        <f>'Федеральные  средства  по  МО'!AP22</f>
        <v>0</v>
      </c>
      <c r="ET21" s="74">
        <f>'Проверочная  таблица'!IR25</f>
        <v>0</v>
      </c>
      <c r="EU21" s="69">
        <f>'Проверочная  таблица'!JB25</f>
        <v>0</v>
      </c>
      <c r="EV21" s="74">
        <f>'Проверочная  таблица'!JD25</f>
        <v>0</v>
      </c>
      <c r="EW21" s="1057">
        <f>'Федеральные  средства  по  МО'!AQ22</f>
        <v>0</v>
      </c>
      <c r="EX21" s="74">
        <f>'Проверочная  таблица'!IU25</f>
        <v>0</v>
      </c>
      <c r="EY21" s="69">
        <f>'Проверочная  таблица'!JC25</f>
        <v>0</v>
      </c>
      <c r="EZ21" s="74">
        <f>'Проверочная  таблица'!JE25</f>
        <v>0</v>
      </c>
      <c r="FA21" s="79">
        <f>'Федеральные  средства  по  МО'!AR22</f>
        <v>0</v>
      </c>
      <c r="FB21" s="75"/>
      <c r="FC21" s="69"/>
      <c r="FD21" s="76"/>
      <c r="FE21" s="73">
        <f>'Федеральные  средства  по  МО'!AS22</f>
        <v>0</v>
      </c>
      <c r="FF21" s="75"/>
      <c r="FG21" s="69"/>
      <c r="FH21" s="74"/>
      <c r="FI21" s="79">
        <f>'Федеральные  средства  по  МО'!AT22</f>
        <v>0</v>
      </c>
      <c r="FJ21" s="75"/>
      <c r="FK21" s="69"/>
      <c r="FL21" s="76"/>
      <c r="FM21" s="73">
        <f>'Федеральные  средства  по  МО'!AU22</f>
        <v>0</v>
      </c>
      <c r="FN21" s="69"/>
      <c r="FO21" s="74"/>
      <c r="FP21" s="69"/>
      <c r="FQ21" s="78">
        <f>'Федеральные  средства  по  МО'!AV22</f>
        <v>0</v>
      </c>
      <c r="FR21" s="76">
        <f>'Проверочная  таблица'!JT25</f>
        <v>0</v>
      </c>
      <c r="FS21" s="74">
        <f>'Проверочная  таблица'!KF25</f>
        <v>-106061.95</v>
      </c>
      <c r="FT21" s="74">
        <f>'Проверочная  таблица'!KL25</f>
        <v>106061.95</v>
      </c>
      <c r="FU21" s="77">
        <f>'Федеральные  средства  по  МО'!AW22</f>
        <v>0</v>
      </c>
      <c r="FV21" s="74">
        <f>'Проверочная  таблица'!JW25</f>
        <v>0</v>
      </c>
      <c r="FW21" s="69">
        <f>'Проверочная  таблица'!KI25</f>
        <v>0</v>
      </c>
      <c r="FX21" s="74">
        <f>'Проверочная  таблица'!KO25</f>
        <v>0</v>
      </c>
      <c r="FY21" s="78">
        <f>'Федеральные  средства  по  МО'!AX22</f>
        <v>354339.63</v>
      </c>
      <c r="FZ21" s="74"/>
      <c r="GA21" s="69">
        <f t="shared" si="46"/>
        <v>354339.63</v>
      </c>
      <c r="GB21" s="74"/>
      <c r="GC21" s="73">
        <f>'Федеральные  средства  по  МО'!AY22</f>
        <v>0</v>
      </c>
      <c r="GD21" s="69"/>
      <c r="GE21" s="74">
        <f t="shared" si="47"/>
        <v>0</v>
      </c>
      <c r="GF21" s="69"/>
      <c r="GG21" s="73">
        <f>'Федеральные  средства  по  МО'!AZ22</f>
        <v>77443.520000000004</v>
      </c>
      <c r="GH21" s="75">
        <f t="shared" si="48"/>
        <v>77443.520000000004</v>
      </c>
      <c r="GI21" s="69"/>
      <c r="GJ21" s="76"/>
      <c r="GK21" s="73">
        <f>'Федеральные  средства  по  МО'!BA22</f>
        <v>0</v>
      </c>
      <c r="GL21" s="75">
        <f t="shared" si="49"/>
        <v>0</v>
      </c>
      <c r="GM21" s="69"/>
      <c r="GN21" s="74"/>
      <c r="GO21" s="79">
        <f>'Федеральные  средства  по  МО'!BB22</f>
        <v>0</v>
      </c>
      <c r="GP21" s="69"/>
      <c r="GQ21" s="76">
        <f>'Проверочная  таблица'!MO25</f>
        <v>0</v>
      </c>
      <c r="GR21" s="74">
        <f>'Проверочная  таблица'!MW25</f>
        <v>0</v>
      </c>
      <c r="GS21" s="77">
        <f>'Федеральные  средства  по  МО'!BC22</f>
        <v>0</v>
      </c>
      <c r="GT21" s="76"/>
      <c r="GU21" s="74">
        <f>'Проверочная  таблица'!MS25</f>
        <v>0</v>
      </c>
      <c r="GV21" s="75">
        <f>'Проверочная  таблица'!NA25</f>
        <v>0</v>
      </c>
      <c r="GW21" s="77">
        <f>'Федеральные  средства  по  МО'!BD22</f>
        <v>0</v>
      </c>
      <c r="GX21" s="74">
        <f t="shared" si="50"/>
        <v>0</v>
      </c>
      <c r="GY21" s="69"/>
      <c r="GZ21" s="76"/>
      <c r="HA21" s="73">
        <f>'Федеральные  средства  по  МО'!BE22</f>
        <v>0</v>
      </c>
      <c r="HB21" s="74">
        <f t="shared" si="51"/>
        <v>0</v>
      </c>
      <c r="HC21" s="75"/>
      <c r="HD21" s="69"/>
      <c r="HE21" s="73">
        <f>'Федеральные  средства  по  МО'!BF22</f>
        <v>0</v>
      </c>
      <c r="HF21" s="76">
        <f t="shared" si="52"/>
        <v>0</v>
      </c>
      <c r="HG21" s="74"/>
      <c r="HH21" s="75"/>
      <c r="HI21" s="79">
        <f>'Федеральные  средства  по  МО'!BG22</f>
        <v>0</v>
      </c>
      <c r="HJ21" s="76">
        <f t="shared" si="12"/>
        <v>0</v>
      </c>
      <c r="HK21" s="74"/>
      <c r="HL21" s="75"/>
      <c r="HM21" s="78">
        <f>'Федеральные  средства  по  МО'!BH22</f>
        <v>106061.95</v>
      </c>
      <c r="HN21" s="76">
        <f t="shared" si="53"/>
        <v>106061.95</v>
      </c>
      <c r="HO21" s="74"/>
      <c r="HP21" s="75">
        <f>'Проверочная  таблица'!OF25</f>
        <v>0</v>
      </c>
      <c r="HQ21" s="79">
        <f>'Федеральные  средства  по  МО'!BI22</f>
        <v>106061.95</v>
      </c>
      <c r="HR21" s="76">
        <f t="shared" si="54"/>
        <v>106061.95</v>
      </c>
      <c r="HS21" s="76"/>
      <c r="HT21" s="74">
        <f>'Проверочная  таблица'!OI25</f>
        <v>0</v>
      </c>
      <c r="HU21" s="79">
        <f>'Федеральные  средства  по  МО'!BJ22</f>
        <v>0</v>
      </c>
      <c r="HV21" s="75">
        <f t="shared" si="55"/>
        <v>0</v>
      </c>
      <c r="HW21" s="69"/>
      <c r="HX21" s="76"/>
      <c r="HY21" s="73">
        <f>'Федеральные  средства  по  МО'!BK22</f>
        <v>0</v>
      </c>
      <c r="HZ21" s="75">
        <f t="shared" si="13"/>
        <v>0</v>
      </c>
      <c r="IA21" s="69"/>
      <c r="IB21" s="74"/>
      <c r="IC21" s="78">
        <f>'Федеральные  средства  по  МО'!BL22</f>
        <v>9785831.3900000006</v>
      </c>
      <c r="ID21" s="76"/>
      <c r="IE21" s="74"/>
      <c r="IF21" s="75">
        <f>'Проверочная  таблица'!PR25</f>
        <v>0</v>
      </c>
      <c r="IG21" s="77">
        <f>'Федеральные  средства  по  МО'!BM22</f>
        <v>0</v>
      </c>
      <c r="IH21" s="76"/>
      <c r="II21" s="74"/>
      <c r="IJ21" s="75">
        <f>'Проверочная  таблица'!PV25</f>
        <v>0</v>
      </c>
      <c r="IK21" s="78">
        <f>'Федеральные  средства  по  МО'!BN22</f>
        <v>0</v>
      </c>
      <c r="IL21" s="76">
        <f>'Проверочная  таблица'!PZ25</f>
        <v>0</v>
      </c>
      <c r="IM21" s="74">
        <f t="shared" si="56"/>
        <v>0</v>
      </c>
      <c r="IN21" s="75"/>
      <c r="IO21" s="77">
        <f>'Федеральные  средства  по  МО'!BO22</f>
        <v>0</v>
      </c>
      <c r="IP21" s="76">
        <f>'Проверочная  таблица'!QE25</f>
        <v>0</v>
      </c>
      <c r="IQ21" s="74">
        <f t="shared" si="57"/>
        <v>0</v>
      </c>
      <c r="IR21" s="75"/>
      <c r="IS21" s="78">
        <f>'Федеральные  средства  по  МО'!BR22</f>
        <v>0</v>
      </c>
      <c r="IT21" s="74">
        <f t="shared" si="58"/>
        <v>0</v>
      </c>
      <c r="IU21" s="69"/>
      <c r="IV21" s="74"/>
      <c r="IW21" s="79">
        <f>'Федеральные  средства  по  МО'!BS22</f>
        <v>0</v>
      </c>
      <c r="IX21" s="75">
        <f t="shared" si="59"/>
        <v>0</v>
      </c>
      <c r="IY21" s="75"/>
      <c r="IZ21" s="74"/>
      <c r="JA21" s="78">
        <f>'Федеральные  средства  по  МО'!BT22</f>
        <v>0</v>
      </c>
      <c r="JB21" s="74">
        <f>'Проверочная  таблица'!RN25</f>
        <v>0</v>
      </c>
      <c r="JC21" s="69">
        <f>'Проверочная  таблица'!RT25</f>
        <v>0</v>
      </c>
      <c r="JD21" s="74">
        <f>'Проверочная  таблица'!RZ25</f>
        <v>0</v>
      </c>
      <c r="JE21" s="77">
        <f>'Федеральные  средства  по  МО'!BU22</f>
        <v>0</v>
      </c>
      <c r="JF21" s="74">
        <f>'Проверочная  таблица'!RK25</f>
        <v>0</v>
      </c>
      <c r="JG21" s="69">
        <f>'Проверочная  таблица'!RW25</f>
        <v>0</v>
      </c>
      <c r="JH21" s="76">
        <f>'Проверочная  таблица'!SC25</f>
        <v>0</v>
      </c>
      <c r="JI21" s="73">
        <f>'Федеральные  средства  по  МО'!BV22</f>
        <v>0</v>
      </c>
      <c r="JJ21" s="74">
        <f t="shared" si="60"/>
        <v>0</v>
      </c>
      <c r="JK21" s="69"/>
      <c r="JL21" s="74"/>
      <c r="JM21" s="79">
        <f>'Федеральные  средства  по  МО'!BW22</f>
        <v>0</v>
      </c>
      <c r="JN21" s="75">
        <f t="shared" si="61"/>
        <v>0</v>
      </c>
      <c r="JO21" s="69"/>
      <c r="JP21" s="76"/>
      <c r="JQ21" s="78">
        <f>'Федеральные  средства  по  МО'!BX22</f>
        <v>0</v>
      </c>
      <c r="JR21" s="74">
        <f t="shared" si="62"/>
        <v>0</v>
      </c>
      <c r="JS21" s="69"/>
      <c r="JT21" s="74"/>
      <c r="JU21" s="79">
        <f>'Федеральные  средства  по  МО'!BY22</f>
        <v>0</v>
      </c>
      <c r="JV21" s="74">
        <f t="shared" si="63"/>
        <v>0</v>
      </c>
      <c r="JW21" s="69"/>
      <c r="JX21" s="74"/>
      <c r="JY21" s="78">
        <f>'Федеральные  средства  по  МО'!BZ22</f>
        <v>0</v>
      </c>
      <c r="JZ21" s="74">
        <f t="shared" si="64"/>
        <v>0</v>
      </c>
      <c r="KA21" s="69"/>
      <c r="KB21" s="74"/>
      <c r="KC21" s="77">
        <f>'Федеральные  средства  по  МО'!CA22</f>
        <v>0</v>
      </c>
      <c r="KD21" s="74">
        <f t="shared" si="65"/>
        <v>0</v>
      </c>
      <c r="KE21" s="69"/>
      <c r="KF21" s="74"/>
      <c r="KG21" s="77">
        <f>'Федеральные  средства  по  МО'!CB22</f>
        <v>0</v>
      </c>
      <c r="KH21" s="76">
        <f>'Проверочная  таблица'!SZ25</f>
        <v>0</v>
      </c>
      <c r="KI21" s="74">
        <f>'Проверочная  таблица'!UB25</f>
        <v>0</v>
      </c>
      <c r="KJ21" s="69">
        <f>'Проверочная  таблица'!UP25</f>
        <v>0</v>
      </c>
      <c r="KK21" s="1043">
        <f>'Федеральные  средства  по  МО'!CC22</f>
        <v>0</v>
      </c>
      <c r="KL21" s="69">
        <f>'Проверочная  таблица'!TG25</f>
        <v>0</v>
      </c>
      <c r="KM21" s="74">
        <f>'Проверочная  таблица'!UI25</f>
        <v>0</v>
      </c>
      <c r="KN21" s="75">
        <f>'Проверочная  таблица'!UW25</f>
        <v>0</v>
      </c>
      <c r="KO21" s="77">
        <f>'Федеральные  средства  по  МО'!CD22</f>
        <v>0</v>
      </c>
      <c r="KP21" s="74">
        <f>'Проверочная  таблица'!TB25</f>
        <v>0</v>
      </c>
      <c r="KQ21" s="69">
        <f t="shared" si="66"/>
        <v>0</v>
      </c>
      <c r="KR21" s="74"/>
      <c r="KS21" s="77">
        <f>'Федеральные  средства  по  МО'!CE22</f>
        <v>0</v>
      </c>
      <c r="KT21" s="74">
        <f>'Проверочная  таблица'!TI25</f>
        <v>0</v>
      </c>
      <c r="KU21" s="69">
        <f t="shared" si="67"/>
        <v>0</v>
      </c>
      <c r="KV21" s="76"/>
      <c r="KW21" s="78">
        <f>'Федеральные  средства  по  МО'!CF22</f>
        <v>0</v>
      </c>
      <c r="KX21" s="76">
        <f>'Проверочная  таблица'!TD25</f>
        <v>0</v>
      </c>
      <c r="KY21" s="74">
        <f>'Проверочная  таблица'!UF25</f>
        <v>0</v>
      </c>
      <c r="KZ21" s="75"/>
      <c r="LA21" s="77">
        <f>'Федеральные  средства  по  МО'!CG22</f>
        <v>0</v>
      </c>
      <c r="LB21" s="76">
        <f>'Проверочная  таблица'!TK25</f>
        <v>0</v>
      </c>
      <c r="LC21" s="74">
        <f>'Проверочная  таблица'!TY25</f>
        <v>0</v>
      </c>
      <c r="LD21" s="74"/>
    </row>
    <row r="22" spans="1:316" ht="25.5" customHeight="1" x14ac:dyDescent="0.25">
      <c r="A22" s="54" t="s">
        <v>330</v>
      </c>
      <c r="B22" s="71">
        <f t="shared" si="14"/>
        <v>294321575.35000008</v>
      </c>
      <c r="C22" s="72">
        <f t="shared" si="15"/>
        <v>277122261.33000004</v>
      </c>
      <c r="D22" s="72">
        <f t="shared" si="16"/>
        <v>17095010.550000001</v>
      </c>
      <c r="E22" s="72">
        <f t="shared" si="17"/>
        <v>104303.47</v>
      </c>
      <c r="F22" s="71">
        <f t="shared" si="18"/>
        <v>92036715.569999993</v>
      </c>
      <c r="G22" s="72">
        <f t="shared" si="19"/>
        <v>82975332.179999992</v>
      </c>
      <c r="H22" s="72">
        <f t="shared" si="1"/>
        <v>9061383.3900000006</v>
      </c>
      <c r="I22" s="72">
        <f t="shared" si="2"/>
        <v>0</v>
      </c>
      <c r="J22" s="54"/>
      <c r="K22" s="55">
        <f>M22-'Федеральные  средства  по  МО'!N23-'Федеральные  средства  по  МО'!D23</f>
        <v>0</v>
      </c>
      <c r="L22" s="55">
        <f>Q22-'Федеральные  средства  по  МО'!O23-'Федеральные  средства  по  МО'!E23</f>
        <v>0</v>
      </c>
      <c r="M22" s="1083">
        <f t="shared" si="20"/>
        <v>506528118.68000001</v>
      </c>
      <c r="N22" s="72">
        <f t="shared" si="21"/>
        <v>475241743.57000005</v>
      </c>
      <c r="O22" s="72">
        <f t="shared" si="22"/>
        <v>17095010.550000001</v>
      </c>
      <c r="P22" s="72">
        <f t="shared" si="23"/>
        <v>104303.47</v>
      </c>
      <c r="Q22" s="1083">
        <f t="shared" si="24"/>
        <v>92036715.569999993</v>
      </c>
      <c r="R22" s="72">
        <f t="shared" si="25"/>
        <v>82975332.179999992</v>
      </c>
      <c r="S22" s="72">
        <f t="shared" si="26"/>
        <v>9061383.3900000006</v>
      </c>
      <c r="T22" s="72">
        <f t="shared" si="27"/>
        <v>0</v>
      </c>
      <c r="U22" s="73">
        <f>'Федеральные  средства  по  МО'!F23</f>
        <v>0</v>
      </c>
      <c r="V22" s="69">
        <f>'Проверочная  таблица'!BT26</f>
        <v>0</v>
      </c>
      <c r="W22" s="74">
        <f>'Проверочная  таблица'!BX26</f>
        <v>0</v>
      </c>
      <c r="X22" s="69">
        <f>'Проверочная  таблица'!BZ26</f>
        <v>0</v>
      </c>
      <c r="Y22" s="73">
        <f>'Федеральные  средства  по  МО'!G23</f>
        <v>0</v>
      </c>
      <c r="Z22" s="69">
        <f>'Проверочная  таблица'!BU26</f>
        <v>0</v>
      </c>
      <c r="AA22" s="74">
        <f>'Проверочная  таблица'!BY26</f>
        <v>0</v>
      </c>
      <c r="AB22" s="69">
        <f>'Проверочная  таблица'!CA26</f>
        <v>0</v>
      </c>
      <c r="AC22" s="1043">
        <f>'Федеральные  средства  по  МО'!H23</f>
        <v>198119482.24000001</v>
      </c>
      <c r="AD22" s="75">
        <f t="shared" si="28"/>
        <v>198119482.24000001</v>
      </c>
      <c r="AE22" s="69"/>
      <c r="AF22" s="76"/>
      <c r="AG22" s="1043">
        <f>'Федеральные  средства  по  МО'!I23</f>
        <v>0</v>
      </c>
      <c r="AH22" s="75">
        <f t="shared" si="29"/>
        <v>0</v>
      </c>
      <c r="AI22" s="69"/>
      <c r="AJ22" s="74"/>
      <c r="AK22" s="73">
        <f>'Федеральные  средства  по  МО'!J23</f>
        <v>0</v>
      </c>
      <c r="AL22" s="75">
        <f t="shared" si="30"/>
        <v>0</v>
      </c>
      <c r="AM22" s="69"/>
      <c r="AN22" s="76"/>
      <c r="AO22" s="73">
        <f>'Федеральные  средства  по  МО'!K23</f>
        <v>0</v>
      </c>
      <c r="AP22" s="75">
        <f t="shared" si="31"/>
        <v>0</v>
      </c>
      <c r="AQ22" s="69"/>
      <c r="AR22" s="74"/>
      <c r="AS22" s="77">
        <f>'Федеральные  средства  по  МО'!P23</f>
        <v>0</v>
      </c>
      <c r="AT22" s="74">
        <f>'Проверочная  таблица'!CX26</f>
        <v>0</v>
      </c>
      <c r="AU22" s="80"/>
      <c r="AV22" s="81"/>
      <c r="AW22" s="78">
        <f>'Федеральные  средства  по  МО'!Q23</f>
        <v>0</v>
      </c>
      <c r="AX22" s="74">
        <f>'Проверочная  таблица'!DE26</f>
        <v>0</v>
      </c>
      <c r="AY22" s="82"/>
      <c r="AZ22" s="80"/>
      <c r="BA22" s="78">
        <f>'Федеральные  средства  по  МО'!R23</f>
        <v>275500000</v>
      </c>
      <c r="BB22" s="74">
        <f>'Проверочная  таблица'!CZ26</f>
        <v>275500000</v>
      </c>
      <c r="BC22" s="69"/>
      <c r="BD22" s="74">
        <f>'Проверочная  таблица'!DL26</f>
        <v>0</v>
      </c>
      <c r="BE22" s="77">
        <f>'Федеральные  средства  по  МО'!S23</f>
        <v>82871028.709999993</v>
      </c>
      <c r="BF22" s="74">
        <f>'Проверочная  таблица'!DG26</f>
        <v>82871028.709999993</v>
      </c>
      <c r="BG22" s="80"/>
      <c r="BH22" s="74">
        <f>'Проверочная  таблица'!DO26</f>
        <v>0</v>
      </c>
      <c r="BI22" s="77">
        <f>'Федеральные  средства  по  МО'!T23</f>
        <v>0</v>
      </c>
      <c r="BJ22" s="74">
        <f t="shared" si="32"/>
        <v>0</v>
      </c>
      <c r="BK22" s="69"/>
      <c r="BL22" s="74"/>
      <c r="BM22" s="79">
        <f>'Федеральные  средства  по  МО'!U23</f>
        <v>0</v>
      </c>
      <c r="BN22" s="74">
        <f t="shared" si="33"/>
        <v>0</v>
      </c>
      <c r="BO22" s="82"/>
      <c r="BP22" s="82"/>
      <c r="BQ22" s="73">
        <f>'Федеральные  средства  по  МО'!V23</f>
        <v>0</v>
      </c>
      <c r="BR22" s="82">
        <f t="shared" si="4"/>
        <v>0</v>
      </c>
      <c r="BS22" s="83"/>
      <c r="BT22" s="80"/>
      <c r="BU22" s="73">
        <f>'Федеральные  средства  по  МО'!W23</f>
        <v>0</v>
      </c>
      <c r="BV22" s="82">
        <f t="shared" si="5"/>
        <v>0</v>
      </c>
      <c r="BW22" s="83"/>
      <c r="BX22" s="80"/>
      <c r="BY22" s="73">
        <f>'Федеральные  средства  по  МО'!X23</f>
        <v>0</v>
      </c>
      <c r="BZ22" s="82">
        <f t="shared" si="6"/>
        <v>0</v>
      </c>
      <c r="CA22" s="83"/>
      <c r="CB22" s="80"/>
      <c r="CC22" s="73">
        <f>'Федеральные  средства  по  МО'!Y23</f>
        <v>0</v>
      </c>
      <c r="CD22" s="82">
        <f t="shared" si="7"/>
        <v>0</v>
      </c>
      <c r="CE22" s="83"/>
      <c r="CF22" s="80"/>
      <c r="CG22" s="73">
        <f>'Федеральные  средства  по  МО'!Z23</f>
        <v>0</v>
      </c>
      <c r="CH22" s="82">
        <f t="shared" si="8"/>
        <v>0</v>
      </c>
      <c r="CI22" s="80"/>
      <c r="CJ22" s="81"/>
      <c r="CK22" s="73">
        <f>'Федеральные  средства  по  МО'!AA23</f>
        <v>0</v>
      </c>
      <c r="CL22" s="82">
        <f t="shared" si="9"/>
        <v>0</v>
      </c>
      <c r="CM22" s="83"/>
      <c r="CN22" s="82"/>
      <c r="CO22" s="78">
        <f>'Федеральные  средства  по  МО'!AB23</f>
        <v>0</v>
      </c>
      <c r="CP22" s="74">
        <f t="shared" si="34"/>
        <v>0</v>
      </c>
      <c r="CQ22" s="69"/>
      <c r="CR22" s="74"/>
      <c r="CS22" s="77">
        <f>'Федеральные  средства  по  МО'!AC23</f>
        <v>0</v>
      </c>
      <c r="CT22" s="74">
        <f t="shared" si="35"/>
        <v>0</v>
      </c>
      <c r="CU22" s="69"/>
      <c r="CV22" s="74"/>
      <c r="CW22" s="78">
        <f>'Федеральные  средства  по  МО'!AD23</f>
        <v>0</v>
      </c>
      <c r="CX22" s="76">
        <f>'Проверочная  таблица'!FD26</f>
        <v>0</v>
      </c>
      <c r="CY22" s="74">
        <f t="shared" si="36"/>
        <v>0</v>
      </c>
      <c r="CZ22" s="75"/>
      <c r="DA22" s="77">
        <f>'Федеральные  средства  по  МО'!AE23</f>
        <v>0</v>
      </c>
      <c r="DB22" s="76">
        <f>'Проверочная  таблица'!FG26</f>
        <v>0</v>
      </c>
      <c r="DC22" s="74">
        <f t="shared" si="37"/>
        <v>0</v>
      </c>
      <c r="DD22" s="69"/>
      <c r="DE22" s="73">
        <f>'Федеральные  средства  по  МО'!AF23</f>
        <v>0</v>
      </c>
      <c r="DF22" s="75">
        <f t="shared" si="38"/>
        <v>0</v>
      </c>
      <c r="DG22" s="69"/>
      <c r="DH22" s="76"/>
      <c r="DI22" s="73">
        <f>'Федеральные  средства  по  МО'!AG23</f>
        <v>0</v>
      </c>
      <c r="DJ22" s="75">
        <f t="shared" si="39"/>
        <v>0</v>
      </c>
      <c r="DK22" s="69"/>
      <c r="DL22" s="76"/>
      <c r="DM22" s="73">
        <f>'Федеральные  средства  по  МО'!AH23</f>
        <v>0</v>
      </c>
      <c r="DN22" s="75">
        <f t="shared" si="40"/>
        <v>0</v>
      </c>
      <c r="DO22" s="69"/>
      <c r="DP22" s="76"/>
      <c r="DQ22" s="73">
        <f>'Федеральные  средства  по  МО'!AI23</f>
        <v>0</v>
      </c>
      <c r="DR22" s="75">
        <f t="shared" si="41"/>
        <v>0</v>
      </c>
      <c r="DS22" s="69"/>
      <c r="DT22" s="74"/>
      <c r="DU22" s="78">
        <f>'Федеральные  средства  по  МО'!AJ23</f>
        <v>0</v>
      </c>
      <c r="DV22" s="74">
        <f t="shared" si="42"/>
        <v>0</v>
      </c>
      <c r="DW22" s="69"/>
      <c r="DX22" s="74"/>
      <c r="DY22" s="77">
        <f>'Федеральные  средства  по  МО'!AK23</f>
        <v>0</v>
      </c>
      <c r="DZ22" s="74">
        <f t="shared" si="43"/>
        <v>0</v>
      </c>
      <c r="EA22" s="69"/>
      <c r="EB22" s="76"/>
      <c r="EC22" s="73">
        <f>'Федеральные  средства  по  МО'!AL23</f>
        <v>0</v>
      </c>
      <c r="ED22" s="69">
        <f t="shared" si="10"/>
        <v>0</v>
      </c>
      <c r="EE22" s="74"/>
      <c r="EF22" s="69"/>
      <c r="EG22" s="73">
        <f>'Федеральные  средства  по  МО'!AM23</f>
        <v>0</v>
      </c>
      <c r="EH22" s="69">
        <f t="shared" si="11"/>
        <v>0</v>
      </c>
      <c r="EI22" s="74"/>
      <c r="EJ22" s="69"/>
      <c r="EK22" s="78">
        <f>'Федеральные  средства  по  МО'!AN23</f>
        <v>0</v>
      </c>
      <c r="EL22" s="74"/>
      <c r="EM22" s="69"/>
      <c r="EN22" s="74">
        <f t="shared" si="44"/>
        <v>0</v>
      </c>
      <c r="EO22" s="77">
        <f>'Федеральные  средства  по  МО'!AO23</f>
        <v>0</v>
      </c>
      <c r="EP22" s="74"/>
      <c r="EQ22" s="69"/>
      <c r="ER22" s="76">
        <f t="shared" si="45"/>
        <v>0</v>
      </c>
      <c r="ES22" s="1055">
        <f>'Федеральные  средства  по  МО'!AP23</f>
        <v>0</v>
      </c>
      <c r="ET22" s="74">
        <f>'Проверочная  таблица'!IR26</f>
        <v>0</v>
      </c>
      <c r="EU22" s="69">
        <f>'Проверочная  таблица'!JB26</f>
        <v>0</v>
      </c>
      <c r="EV22" s="74">
        <f>'Проверочная  таблица'!JD26</f>
        <v>0</v>
      </c>
      <c r="EW22" s="1057">
        <f>'Федеральные  средства  по  МО'!AQ23</f>
        <v>0</v>
      </c>
      <c r="EX22" s="74">
        <f>'Проверочная  таблица'!IU26</f>
        <v>0</v>
      </c>
      <c r="EY22" s="69">
        <f>'Проверочная  таблица'!JC26</f>
        <v>0</v>
      </c>
      <c r="EZ22" s="74">
        <f>'Проверочная  таблица'!JE26</f>
        <v>0</v>
      </c>
      <c r="FA22" s="79">
        <f>'Федеральные  средства  по  МО'!AR23</f>
        <v>0</v>
      </c>
      <c r="FB22" s="75"/>
      <c r="FC22" s="69"/>
      <c r="FD22" s="76"/>
      <c r="FE22" s="73">
        <f>'Федеральные  средства  по  МО'!AS23</f>
        <v>0</v>
      </c>
      <c r="FF22" s="75"/>
      <c r="FG22" s="69"/>
      <c r="FH22" s="74"/>
      <c r="FI22" s="79">
        <f>'Федеральные  средства  по  МО'!AT23</f>
        <v>0</v>
      </c>
      <c r="FJ22" s="82"/>
      <c r="FK22" s="80"/>
      <c r="FL22" s="81"/>
      <c r="FM22" s="73">
        <f>'Федеральные  средства  по  МО'!AU23</f>
        <v>0</v>
      </c>
      <c r="FN22" s="80"/>
      <c r="FO22" s="83"/>
      <c r="FP22" s="80"/>
      <c r="FQ22" s="78">
        <f>'Федеральные  средства  по  МО'!AV23</f>
        <v>0</v>
      </c>
      <c r="FR22" s="76">
        <f>'Проверочная  таблица'!JT26</f>
        <v>0</v>
      </c>
      <c r="FS22" s="74">
        <f>'Проверочная  таблица'!KF26</f>
        <v>-104303.47</v>
      </c>
      <c r="FT22" s="74">
        <f>'Проверочная  таблица'!KL26</f>
        <v>104303.47</v>
      </c>
      <c r="FU22" s="77">
        <f>'Федеральные  средства  по  МО'!AW23</f>
        <v>0</v>
      </c>
      <c r="FV22" s="74">
        <f>'Проверочная  таблица'!JW26</f>
        <v>0</v>
      </c>
      <c r="FW22" s="69">
        <f>'Проверочная  таблица'!KI26</f>
        <v>0</v>
      </c>
      <c r="FX22" s="74">
        <f>'Проверочная  таблица'!KO26</f>
        <v>0</v>
      </c>
      <c r="FY22" s="78">
        <f>'Федеральные  средства  по  МО'!AX23</f>
        <v>253019.27</v>
      </c>
      <c r="FZ22" s="74"/>
      <c r="GA22" s="69">
        <f t="shared" si="46"/>
        <v>253019.27</v>
      </c>
      <c r="GB22" s="74"/>
      <c r="GC22" s="73">
        <f>'Федеральные  средства  по  МО'!AY23</f>
        <v>0</v>
      </c>
      <c r="GD22" s="69"/>
      <c r="GE22" s="74">
        <f t="shared" si="47"/>
        <v>0</v>
      </c>
      <c r="GF22" s="69"/>
      <c r="GG22" s="73">
        <f>'Федеральные  средства  по  МО'!AZ23</f>
        <v>1517957.86</v>
      </c>
      <c r="GH22" s="75">
        <f t="shared" si="48"/>
        <v>1517957.86</v>
      </c>
      <c r="GI22" s="69"/>
      <c r="GJ22" s="76"/>
      <c r="GK22" s="73">
        <f>'Федеральные  средства  по  МО'!BA23</f>
        <v>0</v>
      </c>
      <c r="GL22" s="75">
        <f t="shared" si="49"/>
        <v>0</v>
      </c>
      <c r="GM22" s="69"/>
      <c r="GN22" s="74"/>
      <c r="GO22" s="79">
        <f>'Федеральные  средства  по  МО'!BB23</f>
        <v>15412800</v>
      </c>
      <c r="GP22" s="80"/>
      <c r="GQ22" s="76">
        <f>'Проверочная  таблица'!MO26</f>
        <v>15412800</v>
      </c>
      <c r="GR22" s="74">
        <f>'Проверочная  таблица'!MW26</f>
        <v>0</v>
      </c>
      <c r="GS22" s="77">
        <f>'Федеральные  средства  по  МО'!BC23</f>
        <v>7875762.2300000004</v>
      </c>
      <c r="GT22" s="76"/>
      <c r="GU22" s="74">
        <f>'Проверочная  таблица'!MS26</f>
        <v>7875762.2300000004</v>
      </c>
      <c r="GV22" s="75">
        <f>'Проверочная  таблица'!NA26</f>
        <v>0</v>
      </c>
      <c r="GW22" s="77">
        <f>'Федеральные  средства  по  МО'!BD23</f>
        <v>0</v>
      </c>
      <c r="GX22" s="74">
        <f t="shared" si="50"/>
        <v>0</v>
      </c>
      <c r="GY22" s="69"/>
      <c r="GZ22" s="76"/>
      <c r="HA22" s="73">
        <f>'Федеральные  средства  по  МО'!BE23</f>
        <v>0</v>
      </c>
      <c r="HB22" s="74">
        <f t="shared" si="51"/>
        <v>0</v>
      </c>
      <c r="HC22" s="75"/>
      <c r="HD22" s="80"/>
      <c r="HE22" s="73">
        <f>'Федеральные  средства  по  МО'!BF23</f>
        <v>0</v>
      </c>
      <c r="HF22" s="76">
        <f t="shared" si="52"/>
        <v>0</v>
      </c>
      <c r="HG22" s="74"/>
      <c r="HH22" s="75"/>
      <c r="HI22" s="79">
        <f>'Федеральные  средства  по  МО'!BG23</f>
        <v>0</v>
      </c>
      <c r="HJ22" s="76">
        <f t="shared" si="12"/>
        <v>0</v>
      </c>
      <c r="HK22" s="74"/>
      <c r="HL22" s="75"/>
      <c r="HM22" s="78">
        <f>'Федеральные  средства  по  МО'!BH23</f>
        <v>104303.47</v>
      </c>
      <c r="HN22" s="76">
        <f t="shared" si="53"/>
        <v>104303.47</v>
      </c>
      <c r="HO22" s="74"/>
      <c r="HP22" s="75">
        <f>'Проверочная  таблица'!OF26</f>
        <v>0</v>
      </c>
      <c r="HQ22" s="79">
        <f>'Федеральные  средства  по  МО'!BI23</f>
        <v>104303.47</v>
      </c>
      <c r="HR22" s="76">
        <f t="shared" si="54"/>
        <v>104303.47</v>
      </c>
      <c r="HS22" s="81"/>
      <c r="HT22" s="74">
        <f>'Проверочная  таблица'!OI26</f>
        <v>0</v>
      </c>
      <c r="HU22" s="79">
        <f>'Федеральные  средства  по  МО'!BJ23</f>
        <v>0</v>
      </c>
      <c r="HV22" s="82">
        <f t="shared" si="55"/>
        <v>0</v>
      </c>
      <c r="HW22" s="80"/>
      <c r="HX22" s="81"/>
      <c r="HY22" s="73">
        <f>'Федеральные  средства  по  МО'!BK23</f>
        <v>0</v>
      </c>
      <c r="HZ22" s="82">
        <f t="shared" si="13"/>
        <v>0</v>
      </c>
      <c r="IA22" s="80"/>
      <c r="IB22" s="83"/>
      <c r="IC22" s="78">
        <f>'Федеральные  средства  по  МО'!BL23</f>
        <v>14087061.09</v>
      </c>
      <c r="ID22" s="76"/>
      <c r="IE22" s="74"/>
      <c r="IF22" s="75">
        <f>'Проверочная  таблица'!PR26</f>
        <v>0</v>
      </c>
      <c r="IG22" s="77">
        <f>'Федеральные  средства  по  МО'!BM23</f>
        <v>0</v>
      </c>
      <c r="IH22" s="76"/>
      <c r="II22" s="74"/>
      <c r="IJ22" s="75">
        <f>'Проверочная  таблица'!PV26</f>
        <v>0</v>
      </c>
      <c r="IK22" s="78">
        <f>'Федеральные  средства  по  МО'!BN23</f>
        <v>1533494.75</v>
      </c>
      <c r="IL22" s="76">
        <f>'Проверочная  таблица'!PZ26</f>
        <v>0</v>
      </c>
      <c r="IM22" s="74">
        <f t="shared" si="56"/>
        <v>1533494.75</v>
      </c>
      <c r="IN22" s="75"/>
      <c r="IO22" s="77">
        <f>'Федеральные  средства  по  МО'!BO23</f>
        <v>1185621.1599999999</v>
      </c>
      <c r="IP22" s="76">
        <f>'Проверочная  таблица'!QE26</f>
        <v>0</v>
      </c>
      <c r="IQ22" s="74">
        <f t="shared" si="57"/>
        <v>1185621.1599999999</v>
      </c>
      <c r="IR22" s="75"/>
      <c r="IS22" s="78">
        <f>'Федеральные  средства  по  МО'!BR23</f>
        <v>0</v>
      </c>
      <c r="IT22" s="74">
        <f t="shared" si="58"/>
        <v>0</v>
      </c>
      <c r="IU22" s="69"/>
      <c r="IV22" s="74"/>
      <c r="IW22" s="79">
        <f>'Федеральные  средства  по  МО'!BS23</f>
        <v>0</v>
      </c>
      <c r="IX22" s="75">
        <f t="shared" si="59"/>
        <v>0</v>
      </c>
      <c r="IY22" s="75"/>
      <c r="IZ22" s="74"/>
      <c r="JA22" s="78">
        <f>'Федеральные  средства  по  МО'!BT23</f>
        <v>0</v>
      </c>
      <c r="JB22" s="74">
        <f>'Проверочная  таблица'!RN26</f>
        <v>0</v>
      </c>
      <c r="JC22" s="69">
        <f>'Проверочная  таблица'!RT26</f>
        <v>0</v>
      </c>
      <c r="JD22" s="74">
        <f>'Проверочная  таблица'!RZ26</f>
        <v>0</v>
      </c>
      <c r="JE22" s="77">
        <f>'Федеральные  средства  по  МО'!BU23</f>
        <v>0</v>
      </c>
      <c r="JF22" s="74">
        <f>'Проверочная  таблица'!RK26</f>
        <v>0</v>
      </c>
      <c r="JG22" s="69">
        <f>'Проверочная  таблица'!RW26</f>
        <v>0</v>
      </c>
      <c r="JH22" s="76">
        <f>'Проверочная  таблица'!SC26</f>
        <v>0</v>
      </c>
      <c r="JI22" s="73">
        <f>'Федеральные  средства  по  МО'!BV23</f>
        <v>0</v>
      </c>
      <c r="JJ22" s="74">
        <f t="shared" si="60"/>
        <v>0</v>
      </c>
      <c r="JK22" s="69"/>
      <c r="JL22" s="74"/>
      <c r="JM22" s="79">
        <f>'Федеральные  средства  по  МО'!BW23</f>
        <v>0</v>
      </c>
      <c r="JN22" s="75">
        <f t="shared" si="61"/>
        <v>0</v>
      </c>
      <c r="JO22" s="69"/>
      <c r="JP22" s="76"/>
      <c r="JQ22" s="78">
        <f>'Федеральные  средства  по  МО'!BX23</f>
        <v>0</v>
      </c>
      <c r="JR22" s="74">
        <f t="shared" si="62"/>
        <v>0</v>
      </c>
      <c r="JS22" s="69"/>
      <c r="JT22" s="74"/>
      <c r="JU22" s="79">
        <f>'Федеральные  средства  по  МО'!BY23</f>
        <v>0</v>
      </c>
      <c r="JV22" s="74">
        <f t="shared" si="63"/>
        <v>0</v>
      </c>
      <c r="JW22" s="69"/>
      <c r="JX22" s="74"/>
      <c r="JY22" s="78">
        <f>'Федеральные  средства  по  МО'!BZ23</f>
        <v>0</v>
      </c>
      <c r="JZ22" s="74">
        <f t="shared" si="64"/>
        <v>0</v>
      </c>
      <c r="KA22" s="69"/>
      <c r="KB22" s="74"/>
      <c r="KC22" s="77">
        <f>'Федеральные  средства  по  МО'!CA23</f>
        <v>0</v>
      </c>
      <c r="KD22" s="74">
        <f t="shared" si="65"/>
        <v>0</v>
      </c>
      <c r="KE22" s="69"/>
      <c r="KF22" s="74"/>
      <c r="KG22" s="77">
        <f>'Федеральные  средства  по  МО'!CB23</f>
        <v>0</v>
      </c>
      <c r="KH22" s="76">
        <f>'Проверочная  таблица'!SZ26</f>
        <v>0</v>
      </c>
      <c r="KI22" s="74">
        <f>'Проверочная  таблица'!UB26</f>
        <v>0</v>
      </c>
      <c r="KJ22" s="69">
        <f>'Проверочная  таблица'!UP26</f>
        <v>0</v>
      </c>
      <c r="KK22" s="1043">
        <f>'Федеральные  средства  по  МО'!CC23</f>
        <v>0</v>
      </c>
      <c r="KL22" s="69">
        <f>'Проверочная  таблица'!TG26</f>
        <v>0</v>
      </c>
      <c r="KM22" s="74">
        <f>'Проверочная  таблица'!UI26</f>
        <v>0</v>
      </c>
      <c r="KN22" s="75">
        <f>'Проверочная  таблица'!UW26</f>
        <v>0</v>
      </c>
      <c r="KO22" s="77">
        <f>'Федеральные  средства  по  МО'!CD23</f>
        <v>0</v>
      </c>
      <c r="KP22" s="74">
        <f>'Проверочная  таблица'!TB26</f>
        <v>0</v>
      </c>
      <c r="KQ22" s="69">
        <f t="shared" si="66"/>
        <v>0</v>
      </c>
      <c r="KR22" s="74"/>
      <c r="KS22" s="77">
        <f>'Федеральные  средства  по  МО'!CE23</f>
        <v>0</v>
      </c>
      <c r="KT22" s="74">
        <f>'Проверочная  таблица'!TI26</f>
        <v>0</v>
      </c>
      <c r="KU22" s="69">
        <f t="shared" si="67"/>
        <v>0</v>
      </c>
      <c r="KV22" s="76"/>
      <c r="KW22" s="78">
        <f>'Федеральные  средства  по  МО'!CF23</f>
        <v>0</v>
      </c>
      <c r="KX22" s="76">
        <f>'Проверочная  таблица'!TD26</f>
        <v>0</v>
      </c>
      <c r="KY22" s="74">
        <f>'Проверочная  таблица'!UF26</f>
        <v>0</v>
      </c>
      <c r="KZ22" s="75"/>
      <c r="LA22" s="77">
        <f>'Федеральные  средства  по  МО'!CG23</f>
        <v>0</v>
      </c>
      <c r="LB22" s="76">
        <f>'Проверочная  таблица'!TK26</f>
        <v>0</v>
      </c>
      <c r="LC22" s="74">
        <f>'Проверочная  таблица'!TY26</f>
        <v>0</v>
      </c>
      <c r="LD22" s="74"/>
    </row>
    <row r="23" spans="1:316" ht="25.5" customHeight="1" x14ac:dyDescent="0.25">
      <c r="A23" s="89" t="s">
        <v>331</v>
      </c>
      <c r="B23" s="53">
        <f t="shared" si="14"/>
        <v>1037915.08</v>
      </c>
      <c r="C23" s="53">
        <f t="shared" si="15"/>
        <v>161364</v>
      </c>
      <c r="D23" s="53">
        <f t="shared" si="16"/>
        <v>736196.37</v>
      </c>
      <c r="E23" s="53">
        <f t="shared" si="17"/>
        <v>140354.71</v>
      </c>
      <c r="F23" s="53">
        <f t="shared" si="18"/>
        <v>140354.71</v>
      </c>
      <c r="G23" s="53">
        <f t="shared" si="19"/>
        <v>140354.71</v>
      </c>
      <c r="H23" s="53">
        <f t="shared" si="1"/>
        <v>0</v>
      </c>
      <c r="I23" s="53">
        <f t="shared" si="2"/>
        <v>0</v>
      </c>
      <c r="J23" s="54"/>
      <c r="K23" s="55">
        <f>M23-'Федеральные  средства  по  МО'!N24-'Федеральные  средства  по  МО'!D24</f>
        <v>0</v>
      </c>
      <c r="L23" s="55">
        <f>Q23-'Федеральные  средства  по  МО'!O24-'Федеральные  средства  по  МО'!E24</f>
        <v>0</v>
      </c>
      <c r="M23" s="1084">
        <f t="shared" si="20"/>
        <v>33415556.449999999</v>
      </c>
      <c r="N23" s="1084">
        <f t="shared" si="21"/>
        <v>32539005.370000001</v>
      </c>
      <c r="O23" s="1084">
        <f t="shared" si="22"/>
        <v>736196.37</v>
      </c>
      <c r="P23" s="1084">
        <f t="shared" si="23"/>
        <v>140354.71</v>
      </c>
      <c r="Q23" s="1084">
        <f t="shared" si="24"/>
        <v>140354.71</v>
      </c>
      <c r="R23" s="1084">
        <f t="shared" si="25"/>
        <v>140354.71</v>
      </c>
      <c r="S23" s="1084">
        <f t="shared" si="26"/>
        <v>0</v>
      </c>
      <c r="T23" s="1084">
        <f t="shared" si="27"/>
        <v>0</v>
      </c>
      <c r="U23" s="85">
        <f>'Федеральные  средства  по  МО'!F24</f>
        <v>0</v>
      </c>
      <c r="V23" s="86">
        <f>'Проверочная  таблица'!BT16</f>
        <v>0</v>
      </c>
      <c r="W23" s="85">
        <f>'Проверочная  таблица'!BX16</f>
        <v>0</v>
      </c>
      <c r="X23" s="86">
        <f>'Проверочная  таблица'!BZ16</f>
        <v>0</v>
      </c>
      <c r="Y23" s="85">
        <f>'Федеральные  средства  по  МО'!G24</f>
        <v>0</v>
      </c>
      <c r="Z23" s="86">
        <f>'Проверочная  таблица'!BU16</f>
        <v>0</v>
      </c>
      <c r="AA23" s="85">
        <f>'Проверочная  таблица'!BY16</f>
        <v>0</v>
      </c>
      <c r="AB23" s="86">
        <f>'Проверочная  таблица'!CA16</f>
        <v>0</v>
      </c>
      <c r="AC23" s="1079">
        <f>'Федеральные  средства  по  МО'!H24</f>
        <v>32377641.370000001</v>
      </c>
      <c r="AD23" s="1080">
        <f t="shared" si="28"/>
        <v>32377641.370000001</v>
      </c>
      <c r="AE23" s="1081"/>
      <c r="AF23" s="1082"/>
      <c r="AG23" s="1079">
        <f>'Федеральные  средства  по  МО'!I24</f>
        <v>0</v>
      </c>
      <c r="AH23" s="87">
        <f t="shared" si="29"/>
        <v>0</v>
      </c>
      <c r="AI23" s="86"/>
      <c r="AJ23" s="85"/>
      <c r="AK23" s="85">
        <f>'Федеральные  средства  по  МО'!J24</f>
        <v>0</v>
      </c>
      <c r="AL23" s="87">
        <f t="shared" si="30"/>
        <v>0</v>
      </c>
      <c r="AM23" s="86"/>
      <c r="AN23" s="88"/>
      <c r="AO23" s="85">
        <f>'Федеральные  средства  по  МО'!K24</f>
        <v>0</v>
      </c>
      <c r="AP23" s="87">
        <f t="shared" si="31"/>
        <v>0</v>
      </c>
      <c r="AQ23" s="86"/>
      <c r="AR23" s="85"/>
      <c r="AS23" s="86">
        <f>'Федеральные  средства  по  МО'!P24</f>
        <v>0</v>
      </c>
      <c r="AT23" s="85">
        <f>'Проверочная  таблица'!CX16</f>
        <v>0</v>
      </c>
      <c r="AU23" s="86"/>
      <c r="AV23" s="88"/>
      <c r="AW23" s="88">
        <f>'Федеральные  средства  по  МО'!Q24</f>
        <v>0</v>
      </c>
      <c r="AX23" s="85">
        <f>'Проверочная  таблица'!DE16</f>
        <v>0</v>
      </c>
      <c r="AY23" s="87"/>
      <c r="AZ23" s="86"/>
      <c r="BA23" s="88">
        <f>'Федеральные  средства  по  МО'!R24</f>
        <v>0</v>
      </c>
      <c r="BB23" s="85">
        <f>'Проверочная  таблица'!CZ16</f>
        <v>0</v>
      </c>
      <c r="BC23" s="86"/>
      <c r="BD23" s="85">
        <f>'Проверочная  таблица'!DL16</f>
        <v>0</v>
      </c>
      <c r="BE23" s="86">
        <f>'Федеральные  средства  по  МО'!S24</f>
        <v>0</v>
      </c>
      <c r="BF23" s="85">
        <f>'Проверочная  таблица'!DG16</f>
        <v>0</v>
      </c>
      <c r="BG23" s="86"/>
      <c r="BH23" s="85">
        <f>'Проверочная  таблица'!DO16</f>
        <v>0</v>
      </c>
      <c r="BI23" s="86">
        <f>'Федеральные  средства  по  МО'!T24</f>
        <v>0</v>
      </c>
      <c r="BJ23" s="85">
        <f t="shared" si="32"/>
        <v>0</v>
      </c>
      <c r="BK23" s="86"/>
      <c r="BL23" s="85"/>
      <c r="BM23" s="87">
        <f>'Федеральные  средства  по  МО'!U24</f>
        <v>0</v>
      </c>
      <c r="BN23" s="85">
        <f t="shared" si="33"/>
        <v>0</v>
      </c>
      <c r="BO23" s="87"/>
      <c r="BP23" s="87"/>
      <c r="BQ23" s="85">
        <f>'Федеральные  средства  по  МО'!V24</f>
        <v>0</v>
      </c>
      <c r="BR23" s="87">
        <f t="shared" si="4"/>
        <v>0</v>
      </c>
      <c r="BS23" s="85"/>
      <c r="BT23" s="86"/>
      <c r="BU23" s="85">
        <f>'Федеральные  средства  по  МО'!W24</f>
        <v>0</v>
      </c>
      <c r="BV23" s="87">
        <f t="shared" si="5"/>
        <v>0</v>
      </c>
      <c r="BW23" s="85"/>
      <c r="BX23" s="86"/>
      <c r="BY23" s="85">
        <f>'Федеральные  средства  по  МО'!X24</f>
        <v>0</v>
      </c>
      <c r="BZ23" s="87">
        <f t="shared" si="6"/>
        <v>0</v>
      </c>
      <c r="CA23" s="85"/>
      <c r="CB23" s="86"/>
      <c r="CC23" s="85">
        <f>'Федеральные  средства  по  МО'!Y24</f>
        <v>0</v>
      </c>
      <c r="CD23" s="87">
        <f t="shared" si="7"/>
        <v>0</v>
      </c>
      <c r="CE23" s="85"/>
      <c r="CF23" s="86"/>
      <c r="CG23" s="85">
        <f>'Федеральные  средства  по  МО'!Z24</f>
        <v>0</v>
      </c>
      <c r="CH23" s="87">
        <f t="shared" si="8"/>
        <v>0</v>
      </c>
      <c r="CI23" s="86"/>
      <c r="CJ23" s="88"/>
      <c r="CK23" s="85">
        <f>'Федеральные  средства  по  МО'!AA24</f>
        <v>0</v>
      </c>
      <c r="CL23" s="87">
        <f t="shared" si="9"/>
        <v>0</v>
      </c>
      <c r="CM23" s="85"/>
      <c r="CN23" s="87"/>
      <c r="CO23" s="88">
        <f>'Федеральные  средства  по  МО'!AB24</f>
        <v>0</v>
      </c>
      <c r="CP23" s="85">
        <f t="shared" si="34"/>
        <v>0</v>
      </c>
      <c r="CQ23" s="86"/>
      <c r="CR23" s="85"/>
      <c r="CS23" s="86">
        <f>'Федеральные  средства  по  МО'!AC24</f>
        <v>0</v>
      </c>
      <c r="CT23" s="85">
        <f t="shared" si="35"/>
        <v>0</v>
      </c>
      <c r="CU23" s="86"/>
      <c r="CV23" s="85"/>
      <c r="CW23" s="88">
        <f>'Федеральные  средства  по  МО'!AD24</f>
        <v>0</v>
      </c>
      <c r="CX23" s="88">
        <f>'Проверочная  таблица'!FD16</f>
        <v>0</v>
      </c>
      <c r="CY23" s="85">
        <f t="shared" si="36"/>
        <v>0</v>
      </c>
      <c r="CZ23" s="87"/>
      <c r="DA23" s="86">
        <f>'Федеральные  средства  по  МО'!AE24</f>
        <v>0</v>
      </c>
      <c r="DB23" s="88">
        <f>'Проверочная  таблица'!FG16</f>
        <v>0</v>
      </c>
      <c r="DC23" s="85">
        <f t="shared" si="37"/>
        <v>0</v>
      </c>
      <c r="DD23" s="86"/>
      <c r="DE23" s="85">
        <f>'Федеральные  средства  по  МО'!AF24</f>
        <v>0</v>
      </c>
      <c r="DF23" s="87">
        <f t="shared" si="38"/>
        <v>0</v>
      </c>
      <c r="DG23" s="86"/>
      <c r="DH23" s="88"/>
      <c r="DI23" s="85">
        <f>'Федеральные  средства  по  МО'!AG24</f>
        <v>0</v>
      </c>
      <c r="DJ23" s="87">
        <f t="shared" si="39"/>
        <v>0</v>
      </c>
      <c r="DK23" s="86"/>
      <c r="DL23" s="88"/>
      <c r="DM23" s="85">
        <f>'Федеральные  средства  по  МО'!AH24</f>
        <v>0</v>
      </c>
      <c r="DN23" s="87">
        <f t="shared" si="40"/>
        <v>0</v>
      </c>
      <c r="DO23" s="86"/>
      <c r="DP23" s="88"/>
      <c r="DQ23" s="85">
        <f>'Федеральные  средства  по  МО'!AI24</f>
        <v>0</v>
      </c>
      <c r="DR23" s="87">
        <f t="shared" si="41"/>
        <v>0</v>
      </c>
      <c r="DS23" s="86"/>
      <c r="DT23" s="85"/>
      <c r="DU23" s="88">
        <f>'Федеральные  средства  по  МО'!AJ24</f>
        <v>0</v>
      </c>
      <c r="DV23" s="85">
        <f t="shared" si="42"/>
        <v>0</v>
      </c>
      <c r="DW23" s="86"/>
      <c r="DX23" s="85"/>
      <c r="DY23" s="86">
        <f>'Федеральные  средства  по  МО'!AK24</f>
        <v>0</v>
      </c>
      <c r="DZ23" s="85">
        <f t="shared" si="43"/>
        <v>0</v>
      </c>
      <c r="EA23" s="86"/>
      <c r="EB23" s="88"/>
      <c r="EC23" s="85">
        <f>'Федеральные  средства  по  МО'!AL24</f>
        <v>0</v>
      </c>
      <c r="ED23" s="86">
        <f t="shared" si="10"/>
        <v>0</v>
      </c>
      <c r="EE23" s="85"/>
      <c r="EF23" s="86"/>
      <c r="EG23" s="85">
        <f>'Федеральные  средства  по  МО'!AM24</f>
        <v>0</v>
      </c>
      <c r="EH23" s="86">
        <f t="shared" si="11"/>
        <v>0</v>
      </c>
      <c r="EI23" s="85"/>
      <c r="EJ23" s="86"/>
      <c r="EK23" s="88">
        <f>'Федеральные  средства  по  МО'!AN24</f>
        <v>0</v>
      </c>
      <c r="EL23" s="85"/>
      <c r="EM23" s="86"/>
      <c r="EN23" s="85">
        <f t="shared" si="44"/>
        <v>0</v>
      </c>
      <c r="EO23" s="86">
        <f>'Федеральные  средства  по  МО'!AO24</f>
        <v>0</v>
      </c>
      <c r="EP23" s="85"/>
      <c r="EQ23" s="86"/>
      <c r="ER23" s="88">
        <f t="shared" si="45"/>
        <v>0</v>
      </c>
      <c r="ES23" s="459">
        <f>'Федеральные  средства  по  МО'!AP24</f>
        <v>0</v>
      </c>
      <c r="ET23" s="460">
        <f>'Проверочная  таблица'!IR16</f>
        <v>0</v>
      </c>
      <c r="EU23" s="1062">
        <f>'Проверочная  таблица'!JB16</f>
        <v>0</v>
      </c>
      <c r="EV23" s="460">
        <f>'Проверочная  таблица'!JD16</f>
        <v>0</v>
      </c>
      <c r="EW23" s="1062">
        <f>'Федеральные  средства  по  МО'!AQ24</f>
        <v>0</v>
      </c>
      <c r="EX23" s="460">
        <f>'Проверочная  таблица'!IU16</f>
        <v>0</v>
      </c>
      <c r="EY23" s="1062">
        <f>'Проверочная  таблица'!JC16</f>
        <v>0</v>
      </c>
      <c r="EZ23" s="460">
        <f>'Проверочная  таблица'!JE16</f>
        <v>0</v>
      </c>
      <c r="FA23" s="87">
        <f>'Федеральные  средства  по  МО'!AR24</f>
        <v>0</v>
      </c>
      <c r="FB23" s="87"/>
      <c r="FC23" s="86"/>
      <c r="FD23" s="88"/>
      <c r="FE23" s="85">
        <f>'Федеральные  средства  по  МО'!AS24</f>
        <v>0</v>
      </c>
      <c r="FF23" s="87"/>
      <c r="FG23" s="86"/>
      <c r="FH23" s="85"/>
      <c r="FI23" s="87">
        <f>'Федеральные  средства  по  МО'!AT24</f>
        <v>0</v>
      </c>
      <c r="FJ23" s="87"/>
      <c r="FK23" s="86"/>
      <c r="FL23" s="88"/>
      <c r="FM23" s="85">
        <f>'Федеральные  средства  по  МО'!AU24</f>
        <v>0</v>
      </c>
      <c r="FN23" s="86"/>
      <c r="FO23" s="85"/>
      <c r="FP23" s="86"/>
      <c r="FQ23" s="88">
        <f>'Федеральные  средства  по  МО'!AV24</f>
        <v>0</v>
      </c>
      <c r="FR23" s="88">
        <f>'Проверочная  таблица'!JT16</f>
        <v>0</v>
      </c>
      <c r="FS23" s="85">
        <f>'Проверочная  таблица'!KF16</f>
        <v>-140354.71</v>
      </c>
      <c r="FT23" s="85">
        <f>'Проверочная  таблица'!KL16</f>
        <v>140354.71</v>
      </c>
      <c r="FU23" s="86">
        <f>'Федеральные  средства  по  МО'!AW24</f>
        <v>0</v>
      </c>
      <c r="FV23" s="85">
        <f>'Проверочная  таблица'!JW16</f>
        <v>0</v>
      </c>
      <c r="FW23" s="86">
        <f>'Проверочная  таблица'!KI16</f>
        <v>0</v>
      </c>
      <c r="FX23" s="85">
        <f>'Проверочная  таблица'!KO16</f>
        <v>0</v>
      </c>
      <c r="FY23" s="88">
        <f>'Федеральные  средства  по  МО'!AX24</f>
        <v>876551.08</v>
      </c>
      <c r="FZ23" s="85"/>
      <c r="GA23" s="86">
        <f t="shared" si="46"/>
        <v>876551.08</v>
      </c>
      <c r="GB23" s="85"/>
      <c r="GC23" s="85">
        <f>'Федеральные  средства  по  МО'!AY24</f>
        <v>0</v>
      </c>
      <c r="GD23" s="86"/>
      <c r="GE23" s="85">
        <f t="shared" si="47"/>
        <v>0</v>
      </c>
      <c r="GF23" s="86"/>
      <c r="GG23" s="85">
        <f>'Федеральные  средства  по  МО'!AZ24</f>
        <v>21009.29</v>
      </c>
      <c r="GH23" s="87">
        <f t="shared" si="48"/>
        <v>21009.29</v>
      </c>
      <c r="GI23" s="86"/>
      <c r="GJ23" s="88"/>
      <c r="GK23" s="85">
        <f>'Федеральные  средства  по  МО'!BA24</f>
        <v>0</v>
      </c>
      <c r="GL23" s="87">
        <f t="shared" si="49"/>
        <v>0</v>
      </c>
      <c r="GM23" s="86"/>
      <c r="GN23" s="85"/>
      <c r="GO23" s="87">
        <f>'Федеральные  средства  по  МО'!BB24</f>
        <v>0</v>
      </c>
      <c r="GP23" s="86"/>
      <c r="GQ23" s="88">
        <f>'Проверочная  таблица'!MO16</f>
        <v>0</v>
      </c>
      <c r="GR23" s="85">
        <f>'Проверочная  таблица'!MW16</f>
        <v>0</v>
      </c>
      <c r="GS23" s="86">
        <f>'Федеральные  средства  по  МО'!BC24</f>
        <v>0</v>
      </c>
      <c r="GT23" s="88"/>
      <c r="GU23" s="85">
        <f>'Проверочная  таблица'!MS16</f>
        <v>0</v>
      </c>
      <c r="GV23" s="87">
        <f>'Проверочная  таблица'!NA16</f>
        <v>0</v>
      </c>
      <c r="GW23" s="86">
        <f>'Федеральные  средства  по  МО'!BD24</f>
        <v>0</v>
      </c>
      <c r="GX23" s="85">
        <f t="shared" si="50"/>
        <v>0</v>
      </c>
      <c r="GY23" s="86"/>
      <c r="GZ23" s="88"/>
      <c r="HA23" s="85">
        <f>'Федеральные  средства  по  МО'!BE24</f>
        <v>0</v>
      </c>
      <c r="HB23" s="85">
        <f t="shared" si="51"/>
        <v>0</v>
      </c>
      <c r="HC23" s="87"/>
      <c r="HD23" s="86"/>
      <c r="HE23" s="85">
        <f>'Федеральные  средства  по  МО'!BF24</f>
        <v>0</v>
      </c>
      <c r="HF23" s="88">
        <f t="shared" si="52"/>
        <v>0</v>
      </c>
      <c r="HG23" s="85"/>
      <c r="HH23" s="87"/>
      <c r="HI23" s="87">
        <f>'Федеральные  средства  по  МО'!BG24</f>
        <v>0</v>
      </c>
      <c r="HJ23" s="88">
        <f t="shared" si="12"/>
        <v>0</v>
      </c>
      <c r="HK23" s="85"/>
      <c r="HL23" s="87"/>
      <c r="HM23" s="88">
        <f>'Федеральные  средства  по  МО'!BH24</f>
        <v>140354.71</v>
      </c>
      <c r="HN23" s="88">
        <f t="shared" si="53"/>
        <v>140354.71</v>
      </c>
      <c r="HO23" s="85"/>
      <c r="HP23" s="87">
        <f>'Проверочная  таблица'!OF16</f>
        <v>0</v>
      </c>
      <c r="HQ23" s="87">
        <f>'Федеральные  средства  по  МО'!BI24</f>
        <v>140354.71</v>
      </c>
      <c r="HR23" s="88">
        <f t="shared" si="54"/>
        <v>140354.71</v>
      </c>
      <c r="HS23" s="88"/>
      <c r="HT23" s="85">
        <f>'Проверочная  таблица'!OI16</f>
        <v>0</v>
      </c>
      <c r="HU23" s="87">
        <f>'Федеральные  средства  по  МО'!BJ24</f>
        <v>0</v>
      </c>
      <c r="HV23" s="87">
        <f t="shared" si="55"/>
        <v>0</v>
      </c>
      <c r="HW23" s="86"/>
      <c r="HX23" s="88"/>
      <c r="HY23" s="85">
        <f>'Федеральные  средства  по  МО'!BK24</f>
        <v>0</v>
      </c>
      <c r="HZ23" s="87">
        <f t="shared" si="13"/>
        <v>0</v>
      </c>
      <c r="IA23" s="86"/>
      <c r="IB23" s="85"/>
      <c r="IC23" s="88">
        <f>'Федеральные  средства  по  МО'!BL24</f>
        <v>0</v>
      </c>
      <c r="ID23" s="88"/>
      <c r="IE23" s="85"/>
      <c r="IF23" s="87">
        <f>'Проверочная  таблица'!PR16</f>
        <v>0</v>
      </c>
      <c r="IG23" s="86">
        <f>'Федеральные  средства  по  МО'!BM24</f>
        <v>0</v>
      </c>
      <c r="IH23" s="88"/>
      <c r="II23" s="85"/>
      <c r="IJ23" s="87">
        <f>'Проверочная  таблица'!PV16</f>
        <v>0</v>
      </c>
      <c r="IK23" s="88">
        <f>'Федеральные  средства  по  МО'!BN24</f>
        <v>0</v>
      </c>
      <c r="IL23" s="88">
        <f>'Проверочная  таблица'!PZ16</f>
        <v>0</v>
      </c>
      <c r="IM23" s="85">
        <f t="shared" si="56"/>
        <v>0</v>
      </c>
      <c r="IN23" s="87"/>
      <c r="IO23" s="86">
        <f>'Федеральные  средства  по  МО'!BO24</f>
        <v>0</v>
      </c>
      <c r="IP23" s="88">
        <f>'Проверочная  таблица'!QE16</f>
        <v>0</v>
      </c>
      <c r="IQ23" s="85">
        <f t="shared" si="57"/>
        <v>0</v>
      </c>
      <c r="IR23" s="87"/>
      <c r="IS23" s="88">
        <f>'Федеральные  средства  по  МО'!BR24</f>
        <v>0</v>
      </c>
      <c r="IT23" s="85">
        <f t="shared" si="58"/>
        <v>0</v>
      </c>
      <c r="IU23" s="86"/>
      <c r="IV23" s="85"/>
      <c r="IW23" s="87">
        <f>'Федеральные  средства  по  МО'!BS24</f>
        <v>0</v>
      </c>
      <c r="IX23" s="87">
        <f t="shared" si="59"/>
        <v>0</v>
      </c>
      <c r="IY23" s="87"/>
      <c r="IZ23" s="85"/>
      <c r="JA23" s="88">
        <f>'Федеральные  средства  по  МО'!BT24</f>
        <v>0</v>
      </c>
      <c r="JB23" s="85">
        <f>'Проверочная  таблица'!RN16</f>
        <v>0</v>
      </c>
      <c r="JC23" s="86">
        <f>'Проверочная  таблица'!RT16</f>
        <v>0</v>
      </c>
      <c r="JD23" s="85">
        <f>'Проверочная  таблица'!RZ16</f>
        <v>0</v>
      </c>
      <c r="JE23" s="86">
        <f>'Федеральные  средства  по  МО'!BU24</f>
        <v>0</v>
      </c>
      <c r="JF23" s="85">
        <f>'Проверочная  таблица'!RK16</f>
        <v>0</v>
      </c>
      <c r="JG23" s="86">
        <f>'Проверочная  таблица'!RW16</f>
        <v>0</v>
      </c>
      <c r="JH23" s="88">
        <f>'Проверочная  таблица'!SC16</f>
        <v>0</v>
      </c>
      <c r="JI23" s="85">
        <f>'Федеральные  средства  по  МО'!BV24</f>
        <v>0</v>
      </c>
      <c r="JJ23" s="85">
        <f t="shared" si="60"/>
        <v>0</v>
      </c>
      <c r="JK23" s="86"/>
      <c r="JL23" s="85"/>
      <c r="JM23" s="87">
        <f>'Федеральные  средства  по  МО'!BW24</f>
        <v>0</v>
      </c>
      <c r="JN23" s="87">
        <f t="shared" si="61"/>
        <v>0</v>
      </c>
      <c r="JO23" s="86"/>
      <c r="JP23" s="88"/>
      <c r="JQ23" s="88">
        <f>'Федеральные  средства  по  МО'!BX24</f>
        <v>0</v>
      </c>
      <c r="JR23" s="85">
        <f t="shared" si="62"/>
        <v>0</v>
      </c>
      <c r="JS23" s="86"/>
      <c r="JT23" s="85"/>
      <c r="JU23" s="87">
        <f>'Федеральные  средства  по  МО'!BY24</f>
        <v>0</v>
      </c>
      <c r="JV23" s="85">
        <f t="shared" si="63"/>
        <v>0</v>
      </c>
      <c r="JW23" s="86"/>
      <c r="JX23" s="85"/>
      <c r="JY23" s="88">
        <f>'Федеральные  средства  по  МО'!BZ24</f>
        <v>0</v>
      </c>
      <c r="JZ23" s="85">
        <f t="shared" si="64"/>
        <v>0</v>
      </c>
      <c r="KA23" s="86"/>
      <c r="KB23" s="85"/>
      <c r="KC23" s="86">
        <f>'Федеральные  средства  по  МО'!CA24</f>
        <v>0</v>
      </c>
      <c r="KD23" s="85">
        <f t="shared" si="65"/>
        <v>0</v>
      </c>
      <c r="KE23" s="86"/>
      <c r="KF23" s="85"/>
      <c r="KG23" s="86">
        <f>'Федеральные  средства  по  МО'!CB24</f>
        <v>0</v>
      </c>
      <c r="KH23" s="88">
        <f>'Проверочная  таблица'!SZ16</f>
        <v>0</v>
      </c>
      <c r="KI23" s="85">
        <f>'Проверочная  таблица'!UB16</f>
        <v>0</v>
      </c>
      <c r="KJ23" s="86">
        <f>'Проверочная  таблица'!UP16</f>
        <v>0</v>
      </c>
      <c r="KK23" s="85">
        <f>'Федеральные  средства  по  МО'!CC24</f>
        <v>0</v>
      </c>
      <c r="KL23" s="86">
        <f>'Проверочная  таблица'!TG16</f>
        <v>0</v>
      </c>
      <c r="KM23" s="85">
        <f>'Проверочная  таблица'!UI16</f>
        <v>0</v>
      </c>
      <c r="KN23" s="87">
        <f>'Проверочная  таблица'!UW16</f>
        <v>0</v>
      </c>
      <c r="KO23" s="86">
        <f>'Федеральные  средства  по  МО'!CD24</f>
        <v>0</v>
      </c>
      <c r="KP23" s="85">
        <f>'Проверочная  таблица'!TB16</f>
        <v>0</v>
      </c>
      <c r="KQ23" s="86">
        <f t="shared" si="66"/>
        <v>0</v>
      </c>
      <c r="KR23" s="85"/>
      <c r="KS23" s="86">
        <f>'Федеральные  средства  по  МО'!CE24</f>
        <v>0</v>
      </c>
      <c r="KT23" s="85">
        <f>'Проверочная  таблица'!TI16</f>
        <v>0</v>
      </c>
      <c r="KU23" s="86">
        <f t="shared" si="67"/>
        <v>0</v>
      </c>
      <c r="KV23" s="88"/>
      <c r="KW23" s="88">
        <f>'Федеральные  средства  по  МО'!CF24</f>
        <v>0</v>
      </c>
      <c r="KX23" s="88">
        <f>'Проверочная  таблица'!TD16</f>
        <v>0</v>
      </c>
      <c r="KY23" s="85">
        <f>'Проверочная  таблица'!UF16</f>
        <v>0</v>
      </c>
      <c r="KZ23" s="87"/>
      <c r="LA23" s="86">
        <f>'Федеральные  средства  по  МО'!CG24</f>
        <v>0</v>
      </c>
      <c r="LB23" s="88">
        <f>'Проверочная  таблица'!TK16</f>
        <v>0</v>
      </c>
      <c r="LC23" s="85">
        <f>'Проверочная  таблица'!TY16</f>
        <v>0</v>
      </c>
      <c r="LD23" s="85"/>
    </row>
    <row r="24" spans="1:316" ht="25.5" customHeight="1" x14ac:dyDescent="0.25">
      <c r="A24" s="54" t="s">
        <v>332</v>
      </c>
      <c r="B24" s="71">
        <f t="shared" si="14"/>
        <v>2215885.3599999989</v>
      </c>
      <c r="C24" s="72">
        <f t="shared" si="15"/>
        <v>242383.28999999911</v>
      </c>
      <c r="D24" s="72">
        <f t="shared" si="16"/>
        <v>1822506.9699999997</v>
      </c>
      <c r="E24" s="72">
        <f t="shared" si="17"/>
        <v>150995.1</v>
      </c>
      <c r="F24" s="71">
        <f t="shared" si="18"/>
        <v>236012.74</v>
      </c>
      <c r="G24" s="72">
        <f t="shared" si="19"/>
        <v>150995.1</v>
      </c>
      <c r="H24" s="72">
        <f t="shared" si="1"/>
        <v>85017.64</v>
      </c>
      <c r="I24" s="72">
        <f t="shared" si="2"/>
        <v>0</v>
      </c>
      <c r="J24" s="54"/>
      <c r="K24" s="55">
        <f>M24-'Федеральные  средства  по  МО'!N25-'Федеральные  средства  по  МО'!D25</f>
        <v>0</v>
      </c>
      <c r="L24" s="55">
        <f>Q24-'Федеральные  средства  по  МО'!O25-'Федеральные  средства  по  МО'!E25</f>
        <v>0</v>
      </c>
      <c r="M24" s="1083">
        <f t="shared" si="20"/>
        <v>27910806.18</v>
      </c>
      <c r="N24" s="72">
        <f t="shared" si="21"/>
        <v>20937304.109999999</v>
      </c>
      <c r="O24" s="72">
        <f t="shared" si="22"/>
        <v>1822506.9699999997</v>
      </c>
      <c r="P24" s="72">
        <f t="shared" si="23"/>
        <v>150995.1</v>
      </c>
      <c r="Q24" s="1083">
        <f t="shared" si="24"/>
        <v>236012.74</v>
      </c>
      <c r="R24" s="72">
        <f t="shared" si="25"/>
        <v>150995.1</v>
      </c>
      <c r="S24" s="72">
        <f t="shared" si="26"/>
        <v>85017.64</v>
      </c>
      <c r="T24" s="72">
        <f t="shared" si="27"/>
        <v>0</v>
      </c>
      <c r="U24" s="73">
        <f>'Федеральные  средства  по  МО'!F25</f>
        <v>0</v>
      </c>
      <c r="V24" s="69">
        <f>'Проверочная  таблица'!BT27</f>
        <v>0</v>
      </c>
      <c r="W24" s="74">
        <f>'Проверочная  таблица'!BX27</f>
        <v>0</v>
      </c>
      <c r="X24" s="69">
        <f>'Проверочная  таблица'!BZ27</f>
        <v>0</v>
      </c>
      <c r="Y24" s="73">
        <f>'Федеральные  средства  по  МО'!G25</f>
        <v>0</v>
      </c>
      <c r="Z24" s="69">
        <f>'Проверочная  таблица'!BU27</f>
        <v>0</v>
      </c>
      <c r="AA24" s="74">
        <f>'Проверочная  таблица'!BY27</f>
        <v>0</v>
      </c>
      <c r="AB24" s="69">
        <f>'Проверочная  таблица'!CA27</f>
        <v>0</v>
      </c>
      <c r="AC24" s="1043">
        <f>'Федеральные  средства  по  МО'!H25</f>
        <v>20694920.82</v>
      </c>
      <c r="AD24" s="75">
        <f t="shared" si="28"/>
        <v>20694920.82</v>
      </c>
      <c r="AE24" s="69"/>
      <c r="AF24" s="76"/>
      <c r="AG24" s="1043">
        <f>'Федеральные  средства  по  МО'!I25</f>
        <v>0</v>
      </c>
      <c r="AH24" s="75">
        <f t="shared" si="29"/>
        <v>0</v>
      </c>
      <c r="AI24" s="69"/>
      <c r="AJ24" s="74"/>
      <c r="AK24" s="73">
        <f>'Федеральные  средства  по  МО'!J25</f>
        <v>0</v>
      </c>
      <c r="AL24" s="75">
        <f t="shared" si="30"/>
        <v>0</v>
      </c>
      <c r="AM24" s="69"/>
      <c r="AN24" s="76"/>
      <c r="AO24" s="73">
        <f>'Федеральные  средства  по  МО'!K25</f>
        <v>0</v>
      </c>
      <c r="AP24" s="75">
        <f t="shared" si="31"/>
        <v>0</v>
      </c>
      <c r="AQ24" s="69"/>
      <c r="AR24" s="74"/>
      <c r="AS24" s="77">
        <f>'Федеральные  средства  по  МО'!P25</f>
        <v>0</v>
      </c>
      <c r="AT24" s="74">
        <f>'Проверочная  таблица'!CX27</f>
        <v>0</v>
      </c>
      <c r="AU24" s="80"/>
      <c r="AV24" s="81"/>
      <c r="AW24" s="78">
        <f>'Федеральные  средства  по  МО'!Q25</f>
        <v>0</v>
      </c>
      <c r="AX24" s="74">
        <f>'Проверочная  таблица'!DE27</f>
        <v>0</v>
      </c>
      <c r="AY24" s="82"/>
      <c r="AZ24" s="80"/>
      <c r="BA24" s="78">
        <f>'Федеральные  средства  по  МО'!R25</f>
        <v>0</v>
      </c>
      <c r="BB24" s="74">
        <f>'Проверочная  таблица'!CZ27</f>
        <v>0</v>
      </c>
      <c r="BC24" s="69"/>
      <c r="BD24" s="74">
        <f>'Проверочная  таблица'!DL27</f>
        <v>0</v>
      </c>
      <c r="BE24" s="77">
        <f>'Федеральные  средства  по  МО'!S25</f>
        <v>0</v>
      </c>
      <c r="BF24" s="74">
        <f>'Проверочная  таблица'!DG27</f>
        <v>0</v>
      </c>
      <c r="BG24" s="80"/>
      <c r="BH24" s="74">
        <f>'Проверочная  таблица'!DO27</f>
        <v>0</v>
      </c>
      <c r="BI24" s="77">
        <f>'Федеральные  средства  по  МО'!T25</f>
        <v>0</v>
      </c>
      <c r="BJ24" s="74">
        <f t="shared" si="32"/>
        <v>0</v>
      </c>
      <c r="BK24" s="69"/>
      <c r="BL24" s="74"/>
      <c r="BM24" s="79">
        <f>'Федеральные  средства  по  МО'!U25</f>
        <v>0</v>
      </c>
      <c r="BN24" s="74">
        <f t="shared" si="33"/>
        <v>0</v>
      </c>
      <c r="BO24" s="82"/>
      <c r="BP24" s="82"/>
      <c r="BQ24" s="73">
        <f>'Федеральные  средства  по  МО'!V25</f>
        <v>0</v>
      </c>
      <c r="BR24" s="82">
        <f t="shared" si="4"/>
        <v>0</v>
      </c>
      <c r="BS24" s="83"/>
      <c r="BT24" s="80"/>
      <c r="BU24" s="73">
        <f>'Федеральные  средства  по  МО'!W25</f>
        <v>0</v>
      </c>
      <c r="BV24" s="82">
        <f t="shared" si="5"/>
        <v>0</v>
      </c>
      <c r="BW24" s="83"/>
      <c r="BX24" s="80"/>
      <c r="BY24" s="73">
        <f>'Федеральные  средства  по  МО'!X25</f>
        <v>0</v>
      </c>
      <c r="BZ24" s="82">
        <f t="shared" si="6"/>
        <v>0</v>
      </c>
      <c r="CA24" s="83"/>
      <c r="CB24" s="80"/>
      <c r="CC24" s="73">
        <f>'Федеральные  средства  по  МО'!Y25</f>
        <v>0</v>
      </c>
      <c r="CD24" s="82">
        <f t="shared" si="7"/>
        <v>0</v>
      </c>
      <c r="CE24" s="83"/>
      <c r="CF24" s="80"/>
      <c r="CG24" s="73">
        <f>'Федеральные  средства  по  МО'!Z25</f>
        <v>0</v>
      </c>
      <c r="CH24" s="82">
        <f t="shared" si="8"/>
        <v>0</v>
      </c>
      <c r="CI24" s="80"/>
      <c r="CJ24" s="81"/>
      <c r="CK24" s="73">
        <f>'Федеральные  средства  по  МО'!AA25</f>
        <v>0</v>
      </c>
      <c r="CL24" s="82">
        <f t="shared" si="9"/>
        <v>0</v>
      </c>
      <c r="CM24" s="83"/>
      <c r="CN24" s="82"/>
      <c r="CO24" s="78">
        <f>'Федеральные  средства  по  МО'!AB25</f>
        <v>0</v>
      </c>
      <c r="CP24" s="74">
        <f t="shared" si="34"/>
        <v>0</v>
      </c>
      <c r="CQ24" s="69"/>
      <c r="CR24" s="74"/>
      <c r="CS24" s="77">
        <f>'Федеральные  средства  по  МО'!AC25</f>
        <v>0</v>
      </c>
      <c r="CT24" s="74">
        <f t="shared" si="35"/>
        <v>0</v>
      </c>
      <c r="CU24" s="69"/>
      <c r="CV24" s="74"/>
      <c r="CW24" s="78">
        <f>'Федеральные  средства  по  МО'!AD25</f>
        <v>1762206.4</v>
      </c>
      <c r="CX24" s="76">
        <f>'Проверочная  таблица'!FD27</f>
        <v>0</v>
      </c>
      <c r="CY24" s="74">
        <f t="shared" si="36"/>
        <v>1762206.4</v>
      </c>
      <c r="CZ24" s="75"/>
      <c r="DA24" s="77">
        <f>'Федеральные  средства  по  МО'!AE25</f>
        <v>85017.64</v>
      </c>
      <c r="DB24" s="76">
        <f>'Проверочная  таблица'!FG27</f>
        <v>0</v>
      </c>
      <c r="DC24" s="74">
        <f t="shared" si="37"/>
        <v>85017.64</v>
      </c>
      <c r="DD24" s="69"/>
      <c r="DE24" s="73">
        <f>'Федеральные  средства  по  МО'!AF25</f>
        <v>0</v>
      </c>
      <c r="DF24" s="75">
        <f t="shared" si="38"/>
        <v>0</v>
      </c>
      <c r="DG24" s="69"/>
      <c r="DH24" s="76"/>
      <c r="DI24" s="73">
        <f>'Федеральные  средства  по  МО'!AG25</f>
        <v>0</v>
      </c>
      <c r="DJ24" s="75">
        <f t="shared" si="39"/>
        <v>0</v>
      </c>
      <c r="DK24" s="69"/>
      <c r="DL24" s="76"/>
      <c r="DM24" s="73">
        <f>'Федеральные  средства  по  МО'!AH25</f>
        <v>0</v>
      </c>
      <c r="DN24" s="75">
        <f t="shared" si="40"/>
        <v>0</v>
      </c>
      <c r="DO24" s="69"/>
      <c r="DP24" s="76"/>
      <c r="DQ24" s="73">
        <f>'Федеральные  средства  по  МО'!AI25</f>
        <v>0</v>
      </c>
      <c r="DR24" s="75">
        <f t="shared" si="41"/>
        <v>0</v>
      </c>
      <c r="DS24" s="69"/>
      <c r="DT24" s="74"/>
      <c r="DU24" s="78">
        <f>'Федеральные  средства  по  МО'!AJ25</f>
        <v>0</v>
      </c>
      <c r="DV24" s="74">
        <f t="shared" si="42"/>
        <v>0</v>
      </c>
      <c r="DW24" s="69"/>
      <c r="DX24" s="74"/>
      <c r="DY24" s="77">
        <f>'Федеральные  средства  по  МО'!AK25</f>
        <v>0</v>
      </c>
      <c r="DZ24" s="74">
        <f t="shared" si="43"/>
        <v>0</v>
      </c>
      <c r="EA24" s="69"/>
      <c r="EB24" s="76"/>
      <c r="EC24" s="73">
        <f>'Федеральные  средства  по  МО'!AL25</f>
        <v>0</v>
      </c>
      <c r="ED24" s="69">
        <f t="shared" si="10"/>
        <v>0</v>
      </c>
      <c r="EE24" s="74"/>
      <c r="EF24" s="69"/>
      <c r="EG24" s="73">
        <f>'Федеральные  средства  по  МО'!AM25</f>
        <v>0</v>
      </c>
      <c r="EH24" s="69">
        <f t="shared" si="11"/>
        <v>0</v>
      </c>
      <c r="EI24" s="74"/>
      <c r="EJ24" s="69"/>
      <c r="EK24" s="78">
        <f>'Федеральные  средства  по  МО'!AN25</f>
        <v>0</v>
      </c>
      <c r="EL24" s="74"/>
      <c r="EM24" s="69"/>
      <c r="EN24" s="74">
        <f t="shared" si="44"/>
        <v>0</v>
      </c>
      <c r="EO24" s="77">
        <f>'Федеральные  средства  по  МО'!AO25</f>
        <v>0</v>
      </c>
      <c r="EP24" s="74"/>
      <c r="EQ24" s="69"/>
      <c r="ER24" s="76">
        <f t="shared" si="45"/>
        <v>0</v>
      </c>
      <c r="ES24" s="1055">
        <f>'Федеральные  средства  по  МО'!AP25</f>
        <v>0</v>
      </c>
      <c r="ET24" s="74">
        <f>'Проверочная  таблица'!IR27</f>
        <v>0</v>
      </c>
      <c r="EU24" s="69">
        <f>'Проверочная  таблица'!JB27</f>
        <v>0</v>
      </c>
      <c r="EV24" s="74">
        <f>'Проверочная  таблица'!JD27</f>
        <v>0</v>
      </c>
      <c r="EW24" s="1057">
        <f>'Федеральные  средства  по  МО'!AQ25</f>
        <v>0</v>
      </c>
      <c r="EX24" s="74">
        <f>'Проверочная  таблица'!IU27</f>
        <v>0</v>
      </c>
      <c r="EY24" s="69">
        <f>'Проверочная  таблица'!JC27</f>
        <v>0</v>
      </c>
      <c r="EZ24" s="74">
        <f>'Проверочная  таблица'!JE27</f>
        <v>0</v>
      </c>
      <c r="FA24" s="79">
        <f>'Федеральные  средства  по  МО'!AR25</f>
        <v>0</v>
      </c>
      <c r="FB24" s="75"/>
      <c r="FC24" s="69"/>
      <c r="FD24" s="76"/>
      <c r="FE24" s="73">
        <f>'Федеральные  средства  по  МО'!AS25</f>
        <v>0</v>
      </c>
      <c r="FF24" s="75"/>
      <c r="FG24" s="69"/>
      <c r="FH24" s="74"/>
      <c r="FI24" s="79">
        <f>'Федеральные  средства  по  МО'!AT25</f>
        <v>0</v>
      </c>
      <c r="FJ24" s="82"/>
      <c r="FK24" s="80"/>
      <c r="FL24" s="81"/>
      <c r="FM24" s="73">
        <f>'Федеральные  средства  по  МО'!AU25</f>
        <v>0</v>
      </c>
      <c r="FN24" s="80"/>
      <c r="FO24" s="83"/>
      <c r="FP24" s="80"/>
      <c r="FQ24" s="78">
        <f>'Федеральные  средства  по  МО'!AV25</f>
        <v>0</v>
      </c>
      <c r="FR24" s="76">
        <f>'Проверочная  таблица'!JT27</f>
        <v>0</v>
      </c>
      <c r="FS24" s="74">
        <f>'Проверочная  таблица'!KF27</f>
        <v>-150995.1</v>
      </c>
      <c r="FT24" s="74">
        <f>'Проверочная  таблица'!KL27</f>
        <v>150995.1</v>
      </c>
      <c r="FU24" s="77">
        <f>'Федеральные  средства  по  МО'!AW25</f>
        <v>0</v>
      </c>
      <c r="FV24" s="74">
        <f>'Проверочная  таблица'!JW27</f>
        <v>0</v>
      </c>
      <c r="FW24" s="69">
        <f>'Проверочная  таблица'!KI27</f>
        <v>0</v>
      </c>
      <c r="FX24" s="74">
        <f>'Проверочная  таблица'!KO27</f>
        <v>0</v>
      </c>
      <c r="FY24" s="78">
        <f>'Федеральные  средства  по  МО'!AX25</f>
        <v>211295.67</v>
      </c>
      <c r="FZ24" s="74"/>
      <c r="GA24" s="69">
        <f t="shared" si="46"/>
        <v>211295.67</v>
      </c>
      <c r="GB24" s="74"/>
      <c r="GC24" s="73">
        <f>'Федеральные  средства  по  МО'!AY25</f>
        <v>0</v>
      </c>
      <c r="GD24" s="69"/>
      <c r="GE24" s="74">
        <f t="shared" si="47"/>
        <v>0</v>
      </c>
      <c r="GF24" s="69"/>
      <c r="GG24" s="73">
        <f>'Федеральные  средства  по  МО'!AZ25</f>
        <v>91388.19</v>
      </c>
      <c r="GH24" s="75">
        <f t="shared" si="48"/>
        <v>91388.19</v>
      </c>
      <c r="GI24" s="69"/>
      <c r="GJ24" s="76"/>
      <c r="GK24" s="73">
        <f>'Федеральные  средства  по  МО'!BA25</f>
        <v>0</v>
      </c>
      <c r="GL24" s="75">
        <f t="shared" si="49"/>
        <v>0</v>
      </c>
      <c r="GM24" s="69"/>
      <c r="GN24" s="74"/>
      <c r="GO24" s="79">
        <f>'Федеральные  средства  по  МО'!BB25</f>
        <v>0</v>
      </c>
      <c r="GP24" s="80"/>
      <c r="GQ24" s="76">
        <f>'Проверочная  таблица'!MO27</f>
        <v>0</v>
      </c>
      <c r="GR24" s="74">
        <f>'Проверочная  таблица'!MW27</f>
        <v>0</v>
      </c>
      <c r="GS24" s="77">
        <f>'Федеральные  средства  по  МО'!BC25</f>
        <v>0</v>
      </c>
      <c r="GT24" s="76"/>
      <c r="GU24" s="74">
        <f>'Проверочная  таблица'!MS27</f>
        <v>0</v>
      </c>
      <c r="GV24" s="75">
        <f>'Проверочная  таблица'!NA27</f>
        <v>0</v>
      </c>
      <c r="GW24" s="77">
        <f>'Федеральные  средства  по  МО'!BD25</f>
        <v>0</v>
      </c>
      <c r="GX24" s="74">
        <f t="shared" si="50"/>
        <v>0</v>
      </c>
      <c r="GY24" s="69"/>
      <c r="GZ24" s="76"/>
      <c r="HA24" s="73">
        <f>'Федеральные  средства  по  МО'!BE25</f>
        <v>0</v>
      </c>
      <c r="HB24" s="74">
        <f t="shared" si="51"/>
        <v>0</v>
      </c>
      <c r="HC24" s="75"/>
      <c r="HD24" s="80"/>
      <c r="HE24" s="73">
        <f>'Федеральные  средства  по  МО'!BF25</f>
        <v>0</v>
      </c>
      <c r="HF24" s="76">
        <f t="shared" si="52"/>
        <v>0</v>
      </c>
      <c r="HG24" s="74"/>
      <c r="HH24" s="75"/>
      <c r="HI24" s="79">
        <f>'Федеральные  средства  по  МО'!BG25</f>
        <v>0</v>
      </c>
      <c r="HJ24" s="76">
        <f t="shared" si="12"/>
        <v>0</v>
      </c>
      <c r="HK24" s="74"/>
      <c r="HL24" s="75"/>
      <c r="HM24" s="78">
        <f>'Федеральные  средства  по  МО'!BH25</f>
        <v>150995.1</v>
      </c>
      <c r="HN24" s="76">
        <f t="shared" si="53"/>
        <v>150995.1</v>
      </c>
      <c r="HO24" s="74"/>
      <c r="HP24" s="75">
        <f>'Проверочная  таблица'!OF27</f>
        <v>0</v>
      </c>
      <c r="HQ24" s="79">
        <f>'Федеральные  средства  по  МО'!BI25</f>
        <v>150995.1</v>
      </c>
      <c r="HR24" s="76">
        <f t="shared" si="54"/>
        <v>150995.1</v>
      </c>
      <c r="HS24" s="81"/>
      <c r="HT24" s="74">
        <f>'Проверочная  таблица'!OI27</f>
        <v>0</v>
      </c>
      <c r="HU24" s="79">
        <f>'Федеральные  средства  по  МО'!BJ25</f>
        <v>0</v>
      </c>
      <c r="HV24" s="82">
        <f t="shared" si="55"/>
        <v>0</v>
      </c>
      <c r="HW24" s="80"/>
      <c r="HX24" s="81"/>
      <c r="HY24" s="73">
        <f>'Федеральные  средства  по  МО'!BK25</f>
        <v>0</v>
      </c>
      <c r="HZ24" s="82">
        <f t="shared" si="13"/>
        <v>0</v>
      </c>
      <c r="IA24" s="80"/>
      <c r="IB24" s="83"/>
      <c r="IC24" s="78">
        <f>'Федеральные  средства  по  МО'!BL25</f>
        <v>5000000</v>
      </c>
      <c r="ID24" s="76"/>
      <c r="IE24" s="74"/>
      <c r="IF24" s="75">
        <f>'Проверочная  таблица'!PR27</f>
        <v>0</v>
      </c>
      <c r="IG24" s="77">
        <f>'Федеральные  средства  по  МО'!BM25</f>
        <v>0</v>
      </c>
      <c r="IH24" s="76"/>
      <c r="II24" s="74"/>
      <c r="IJ24" s="75">
        <f>'Проверочная  таблица'!PV27</f>
        <v>0</v>
      </c>
      <c r="IK24" s="78">
        <f>'Федеральные  средства  по  МО'!BN25</f>
        <v>0</v>
      </c>
      <c r="IL24" s="76">
        <f>'Проверочная  таблица'!PZ27</f>
        <v>0</v>
      </c>
      <c r="IM24" s="74">
        <f t="shared" si="56"/>
        <v>0</v>
      </c>
      <c r="IN24" s="75"/>
      <c r="IO24" s="77">
        <f>'Федеральные  средства  по  МО'!BO25</f>
        <v>0</v>
      </c>
      <c r="IP24" s="76">
        <f>'Проверочная  таблица'!QE27</f>
        <v>0</v>
      </c>
      <c r="IQ24" s="74">
        <f t="shared" si="57"/>
        <v>0</v>
      </c>
      <c r="IR24" s="75"/>
      <c r="IS24" s="78">
        <f>'Федеральные  средства  по  МО'!BR25</f>
        <v>0</v>
      </c>
      <c r="IT24" s="74">
        <f t="shared" si="58"/>
        <v>0</v>
      </c>
      <c r="IU24" s="69"/>
      <c r="IV24" s="74"/>
      <c r="IW24" s="79">
        <f>'Федеральные  средства  по  МО'!BS25</f>
        <v>0</v>
      </c>
      <c r="IX24" s="75">
        <f t="shared" si="59"/>
        <v>0</v>
      </c>
      <c r="IY24" s="75"/>
      <c r="IZ24" s="74"/>
      <c r="JA24" s="78">
        <f>'Федеральные  средства  по  МО'!BT25</f>
        <v>0</v>
      </c>
      <c r="JB24" s="74">
        <f>'Проверочная  таблица'!RN27</f>
        <v>0</v>
      </c>
      <c r="JC24" s="69">
        <f>'Проверочная  таблица'!RT27</f>
        <v>0</v>
      </c>
      <c r="JD24" s="74">
        <f>'Проверочная  таблица'!RZ27</f>
        <v>0</v>
      </c>
      <c r="JE24" s="77">
        <f>'Федеральные  средства  по  МО'!BU25</f>
        <v>0</v>
      </c>
      <c r="JF24" s="74">
        <f>'Проверочная  таблица'!RK27</f>
        <v>0</v>
      </c>
      <c r="JG24" s="69">
        <f>'Проверочная  таблица'!RW27</f>
        <v>0</v>
      </c>
      <c r="JH24" s="76">
        <f>'Проверочная  таблица'!SC27</f>
        <v>0</v>
      </c>
      <c r="JI24" s="73">
        <f>'Федеральные  средства  по  МО'!BV25</f>
        <v>0</v>
      </c>
      <c r="JJ24" s="74">
        <f t="shared" si="60"/>
        <v>0</v>
      </c>
      <c r="JK24" s="69"/>
      <c r="JL24" s="74"/>
      <c r="JM24" s="79">
        <f>'Федеральные  средства  по  МО'!BW25</f>
        <v>0</v>
      </c>
      <c r="JN24" s="75">
        <f t="shared" si="61"/>
        <v>0</v>
      </c>
      <c r="JO24" s="69"/>
      <c r="JP24" s="76"/>
      <c r="JQ24" s="78">
        <f>'Федеральные  средства  по  МО'!BX25</f>
        <v>0</v>
      </c>
      <c r="JR24" s="74">
        <f t="shared" si="62"/>
        <v>0</v>
      </c>
      <c r="JS24" s="69"/>
      <c r="JT24" s="74"/>
      <c r="JU24" s="79">
        <f>'Федеральные  средства  по  МО'!BY25</f>
        <v>0</v>
      </c>
      <c r="JV24" s="74">
        <f t="shared" si="63"/>
        <v>0</v>
      </c>
      <c r="JW24" s="69"/>
      <c r="JX24" s="74"/>
      <c r="JY24" s="78">
        <f>'Федеральные  средства  по  МО'!BZ25</f>
        <v>0</v>
      </c>
      <c r="JZ24" s="74">
        <f t="shared" si="64"/>
        <v>0</v>
      </c>
      <c r="KA24" s="69"/>
      <c r="KB24" s="74"/>
      <c r="KC24" s="77">
        <f>'Федеральные  средства  по  МО'!CA25</f>
        <v>0</v>
      </c>
      <c r="KD24" s="74">
        <f t="shared" si="65"/>
        <v>0</v>
      </c>
      <c r="KE24" s="69"/>
      <c r="KF24" s="74"/>
      <c r="KG24" s="77">
        <f>'Федеральные  средства  по  МО'!CB25</f>
        <v>0</v>
      </c>
      <c r="KH24" s="76">
        <f>'Проверочная  таблица'!SZ27</f>
        <v>0</v>
      </c>
      <c r="KI24" s="74">
        <f>'Проверочная  таблица'!UB27</f>
        <v>0</v>
      </c>
      <c r="KJ24" s="69">
        <f>'Проверочная  таблица'!UP27</f>
        <v>0</v>
      </c>
      <c r="KK24" s="1043">
        <f>'Федеральные  средства  по  МО'!CC25</f>
        <v>0</v>
      </c>
      <c r="KL24" s="69">
        <f>'Проверочная  таблица'!TG27</f>
        <v>0</v>
      </c>
      <c r="KM24" s="74">
        <f>'Проверочная  таблица'!UI27</f>
        <v>0</v>
      </c>
      <c r="KN24" s="75">
        <f>'Проверочная  таблица'!UW27</f>
        <v>0</v>
      </c>
      <c r="KO24" s="77">
        <f>'Федеральные  средства  по  МО'!CD25</f>
        <v>0</v>
      </c>
      <c r="KP24" s="74">
        <f>'Проверочная  таблица'!TB27</f>
        <v>0</v>
      </c>
      <c r="KQ24" s="69">
        <f t="shared" si="66"/>
        <v>0</v>
      </c>
      <c r="KR24" s="74"/>
      <c r="KS24" s="77">
        <f>'Федеральные  средства  по  МО'!CE25</f>
        <v>0</v>
      </c>
      <c r="KT24" s="74">
        <f>'Проверочная  таблица'!TI27</f>
        <v>0</v>
      </c>
      <c r="KU24" s="69">
        <f t="shared" si="67"/>
        <v>0</v>
      </c>
      <c r="KV24" s="76"/>
      <c r="KW24" s="78">
        <f>'Федеральные  средства  по  МО'!CF25</f>
        <v>0</v>
      </c>
      <c r="KX24" s="76">
        <f>'Проверочная  таблица'!TD27</f>
        <v>0</v>
      </c>
      <c r="KY24" s="74">
        <f>'Проверочная  таблица'!UF27</f>
        <v>0</v>
      </c>
      <c r="KZ24" s="75"/>
      <c r="LA24" s="77">
        <f>'Федеральные  средства  по  МО'!CG25</f>
        <v>0</v>
      </c>
      <c r="LB24" s="76">
        <f>'Проверочная  таблица'!TK27</f>
        <v>0</v>
      </c>
      <c r="LC24" s="74">
        <f>'Проверочная  таблица'!TY27</f>
        <v>0</v>
      </c>
      <c r="LD24" s="74"/>
    </row>
    <row r="25" spans="1:316" ht="25.5" customHeight="1" x14ac:dyDescent="0.25">
      <c r="A25" s="70" t="s">
        <v>333</v>
      </c>
      <c r="B25" s="71">
        <f t="shared" si="14"/>
        <v>81550953.719999999</v>
      </c>
      <c r="C25" s="72">
        <f t="shared" si="15"/>
        <v>14585513.889999997</v>
      </c>
      <c r="D25" s="72">
        <f t="shared" si="16"/>
        <v>34645940.43</v>
      </c>
      <c r="E25" s="72">
        <f t="shared" si="17"/>
        <v>32319499.400000002</v>
      </c>
      <c r="F25" s="71">
        <f t="shared" si="18"/>
        <v>25997599.189999998</v>
      </c>
      <c r="G25" s="72">
        <f t="shared" si="19"/>
        <v>41599.019999999997</v>
      </c>
      <c r="H25" s="72">
        <f t="shared" si="1"/>
        <v>13521822.129999999</v>
      </c>
      <c r="I25" s="72">
        <f t="shared" si="2"/>
        <v>12434178.039999999</v>
      </c>
      <c r="J25" s="54"/>
      <c r="K25" s="55">
        <f>M25-'Федеральные  средства  по  МО'!N26-'Федеральные  средства  по  МО'!D26</f>
        <v>0</v>
      </c>
      <c r="L25" s="55">
        <f>Q25-'Федеральные  средства  по  МО'!O26-'Федеральные  средства  по  МО'!E26</f>
        <v>0</v>
      </c>
      <c r="M25" s="1083">
        <f t="shared" si="20"/>
        <v>165095322.32000002</v>
      </c>
      <c r="N25" s="72">
        <f t="shared" si="21"/>
        <v>83985672.909999996</v>
      </c>
      <c r="O25" s="72">
        <f t="shared" si="22"/>
        <v>34645940.43</v>
      </c>
      <c r="P25" s="72">
        <f t="shared" si="23"/>
        <v>32319499.400000002</v>
      </c>
      <c r="Q25" s="1083">
        <f t="shared" si="24"/>
        <v>25997599.189999998</v>
      </c>
      <c r="R25" s="72">
        <f t="shared" si="25"/>
        <v>41599.019999999997</v>
      </c>
      <c r="S25" s="72">
        <f t="shared" si="26"/>
        <v>13521822.129999999</v>
      </c>
      <c r="T25" s="72">
        <f t="shared" si="27"/>
        <v>12434178.039999999</v>
      </c>
      <c r="U25" s="73">
        <f>'Федеральные  средства  по  МО'!F26</f>
        <v>0</v>
      </c>
      <c r="V25" s="69">
        <f>'Проверочная  таблица'!BT28</f>
        <v>0</v>
      </c>
      <c r="W25" s="74">
        <f>'Проверочная  таблица'!BX28</f>
        <v>0</v>
      </c>
      <c r="X25" s="69">
        <f>'Проверочная  таблица'!BZ28</f>
        <v>0</v>
      </c>
      <c r="Y25" s="73">
        <f>'Федеральные  средства  по  МО'!G26</f>
        <v>0</v>
      </c>
      <c r="Z25" s="69">
        <f>'Проверочная  таблица'!BU28</f>
        <v>0</v>
      </c>
      <c r="AA25" s="74">
        <f>'Проверочная  таблица'!BY28</f>
        <v>0</v>
      </c>
      <c r="AB25" s="69">
        <f>'Проверочная  таблица'!CA28</f>
        <v>0</v>
      </c>
      <c r="AC25" s="1043">
        <f>'Федеральные  средства  по  МО'!H26</f>
        <v>2274159.02</v>
      </c>
      <c r="AD25" s="75">
        <f t="shared" si="28"/>
        <v>2274159.02</v>
      </c>
      <c r="AE25" s="69"/>
      <c r="AF25" s="76"/>
      <c r="AG25" s="1043">
        <f>'Федеральные  средства  по  МО'!I26</f>
        <v>0</v>
      </c>
      <c r="AH25" s="75">
        <f t="shared" si="29"/>
        <v>0</v>
      </c>
      <c r="AI25" s="69"/>
      <c r="AJ25" s="74"/>
      <c r="AK25" s="73">
        <f>'Федеральные  средства  по  МО'!J26</f>
        <v>67126000</v>
      </c>
      <c r="AL25" s="75">
        <f t="shared" si="30"/>
        <v>67126000</v>
      </c>
      <c r="AM25" s="69"/>
      <c r="AN25" s="76"/>
      <c r="AO25" s="73">
        <f>'Федеральные  средства  по  МО'!K26</f>
        <v>0</v>
      </c>
      <c r="AP25" s="75">
        <f t="shared" si="31"/>
        <v>0</v>
      </c>
      <c r="AQ25" s="69"/>
      <c r="AR25" s="74"/>
      <c r="AS25" s="77">
        <f>'Федеральные  средства  по  МО'!P26</f>
        <v>243864.57</v>
      </c>
      <c r="AT25" s="74">
        <f>'Проверочная  таблица'!CX28</f>
        <v>243864.57</v>
      </c>
      <c r="AU25" s="69"/>
      <c r="AV25" s="76"/>
      <c r="AW25" s="78">
        <f>'Федеральные  средства  по  МО'!Q26</f>
        <v>0</v>
      </c>
      <c r="AX25" s="74">
        <f>'Проверочная  таблица'!DE28</f>
        <v>0</v>
      </c>
      <c r="AY25" s="75"/>
      <c r="AZ25" s="69"/>
      <c r="BA25" s="78">
        <f>'Федеральные  средства  по  МО'!R26</f>
        <v>15838100</v>
      </c>
      <c r="BB25" s="74">
        <f>'Проверочная  таблица'!CZ28</f>
        <v>0</v>
      </c>
      <c r="BC25" s="69"/>
      <c r="BD25" s="74">
        <f>'Проверочная  таблица'!DL28</f>
        <v>15838100</v>
      </c>
      <c r="BE25" s="77">
        <f>'Федеральные  средства  по  МО'!S26</f>
        <v>0</v>
      </c>
      <c r="BF25" s="74">
        <f>'Проверочная  таблица'!DG28</f>
        <v>0</v>
      </c>
      <c r="BG25" s="69"/>
      <c r="BH25" s="74">
        <f>'Проверочная  таблица'!DO28</f>
        <v>0</v>
      </c>
      <c r="BI25" s="77">
        <f>'Федеральные  средства  по  МО'!T26</f>
        <v>0</v>
      </c>
      <c r="BJ25" s="74">
        <f t="shared" si="32"/>
        <v>0</v>
      </c>
      <c r="BK25" s="69"/>
      <c r="BL25" s="74"/>
      <c r="BM25" s="79">
        <f>'Федеральные  средства  по  МО'!U26</f>
        <v>0</v>
      </c>
      <c r="BN25" s="74">
        <f t="shared" si="33"/>
        <v>0</v>
      </c>
      <c r="BO25" s="75"/>
      <c r="BP25" s="75"/>
      <c r="BQ25" s="73">
        <f>'Федеральные  средства  по  МО'!V26</f>
        <v>0</v>
      </c>
      <c r="BR25" s="75">
        <f t="shared" si="4"/>
        <v>0</v>
      </c>
      <c r="BS25" s="74"/>
      <c r="BT25" s="69"/>
      <c r="BU25" s="73">
        <f>'Федеральные  средства  по  МО'!W26</f>
        <v>0</v>
      </c>
      <c r="BV25" s="75">
        <f t="shared" si="5"/>
        <v>0</v>
      </c>
      <c r="BW25" s="74"/>
      <c r="BX25" s="69"/>
      <c r="BY25" s="73">
        <f>'Федеральные  средства  по  МО'!X26</f>
        <v>0</v>
      </c>
      <c r="BZ25" s="75">
        <f t="shared" si="6"/>
        <v>0</v>
      </c>
      <c r="CA25" s="74"/>
      <c r="CB25" s="69"/>
      <c r="CC25" s="73">
        <f>'Федеральные  средства  по  МО'!Y26</f>
        <v>0</v>
      </c>
      <c r="CD25" s="75">
        <f t="shared" si="7"/>
        <v>0</v>
      </c>
      <c r="CE25" s="74"/>
      <c r="CF25" s="69"/>
      <c r="CG25" s="73">
        <f>'Федеральные  средства  по  МО'!Z26</f>
        <v>0</v>
      </c>
      <c r="CH25" s="75">
        <f t="shared" si="8"/>
        <v>0</v>
      </c>
      <c r="CI25" s="69"/>
      <c r="CJ25" s="76"/>
      <c r="CK25" s="73">
        <f>'Федеральные  средства  по  МО'!AA26</f>
        <v>0</v>
      </c>
      <c r="CL25" s="75">
        <f t="shared" si="9"/>
        <v>0</v>
      </c>
      <c r="CM25" s="74"/>
      <c r="CN25" s="75"/>
      <c r="CO25" s="78">
        <f>'Федеральные  средства  по  МО'!AB26</f>
        <v>0</v>
      </c>
      <c r="CP25" s="74">
        <f t="shared" si="34"/>
        <v>0</v>
      </c>
      <c r="CQ25" s="69"/>
      <c r="CR25" s="74"/>
      <c r="CS25" s="77">
        <f>'Федеральные  средства  по  МО'!AC26</f>
        <v>0</v>
      </c>
      <c r="CT25" s="74">
        <f t="shared" si="35"/>
        <v>0</v>
      </c>
      <c r="CU25" s="69"/>
      <c r="CV25" s="74"/>
      <c r="CW25" s="78">
        <f>'Федеральные  средства  по  МО'!AD26</f>
        <v>0</v>
      </c>
      <c r="CX25" s="76">
        <f>'Проверочная  таблица'!FD28</f>
        <v>0</v>
      </c>
      <c r="CY25" s="74">
        <f t="shared" si="36"/>
        <v>0</v>
      </c>
      <c r="CZ25" s="75"/>
      <c r="DA25" s="77">
        <f>'Федеральные  средства  по  МО'!AE26</f>
        <v>0</v>
      </c>
      <c r="DB25" s="76">
        <f>'Проверочная  таблица'!FG28</f>
        <v>0</v>
      </c>
      <c r="DC25" s="74">
        <f t="shared" si="37"/>
        <v>0</v>
      </c>
      <c r="DD25" s="69"/>
      <c r="DE25" s="73">
        <f>'Федеральные  средства  по  МО'!AF26</f>
        <v>0</v>
      </c>
      <c r="DF25" s="75">
        <f t="shared" si="38"/>
        <v>0</v>
      </c>
      <c r="DG25" s="69"/>
      <c r="DH25" s="76"/>
      <c r="DI25" s="73">
        <f>'Федеральные  средства  по  МО'!AG26</f>
        <v>0</v>
      </c>
      <c r="DJ25" s="75">
        <f t="shared" si="39"/>
        <v>0</v>
      </c>
      <c r="DK25" s="69"/>
      <c r="DL25" s="76"/>
      <c r="DM25" s="73">
        <f>'Федеральные  средства  по  МО'!AH26</f>
        <v>0</v>
      </c>
      <c r="DN25" s="75">
        <f t="shared" si="40"/>
        <v>0</v>
      </c>
      <c r="DO25" s="69"/>
      <c r="DP25" s="76"/>
      <c r="DQ25" s="73">
        <f>'Федеральные  средства  по  МО'!AI26</f>
        <v>0</v>
      </c>
      <c r="DR25" s="75">
        <f t="shared" si="41"/>
        <v>0</v>
      </c>
      <c r="DS25" s="69"/>
      <c r="DT25" s="74"/>
      <c r="DU25" s="78">
        <f>'Федеральные  средства  по  МО'!AJ26</f>
        <v>0</v>
      </c>
      <c r="DV25" s="74">
        <f t="shared" si="42"/>
        <v>0</v>
      </c>
      <c r="DW25" s="69"/>
      <c r="DX25" s="74"/>
      <c r="DY25" s="77">
        <f>'Федеральные  средства  по  МО'!AK26</f>
        <v>0</v>
      </c>
      <c r="DZ25" s="74">
        <f t="shared" si="43"/>
        <v>0</v>
      </c>
      <c r="EA25" s="69"/>
      <c r="EB25" s="76"/>
      <c r="EC25" s="73">
        <f>'Федеральные  средства  по  МО'!AL26</f>
        <v>0</v>
      </c>
      <c r="ED25" s="69">
        <f t="shared" si="10"/>
        <v>0</v>
      </c>
      <c r="EE25" s="74"/>
      <c r="EF25" s="69"/>
      <c r="EG25" s="73">
        <f>'Федеральные  средства  по  МО'!AM26</f>
        <v>0</v>
      </c>
      <c r="EH25" s="69">
        <f t="shared" si="11"/>
        <v>0</v>
      </c>
      <c r="EI25" s="74"/>
      <c r="EJ25" s="69"/>
      <c r="EK25" s="78">
        <f>'Федеральные  средства  по  МО'!AN26</f>
        <v>821052.83999999985</v>
      </c>
      <c r="EL25" s="74"/>
      <c r="EM25" s="69"/>
      <c r="EN25" s="74">
        <f t="shared" si="44"/>
        <v>821052.83999999985</v>
      </c>
      <c r="EO25" s="77">
        <f>'Федеральные  средства  по  МО'!AO26</f>
        <v>0</v>
      </c>
      <c r="EP25" s="74"/>
      <c r="EQ25" s="69"/>
      <c r="ER25" s="76">
        <f t="shared" si="45"/>
        <v>0</v>
      </c>
      <c r="ES25" s="1055">
        <f>'Федеральные  средства  по  МО'!AP26</f>
        <v>0</v>
      </c>
      <c r="ET25" s="74">
        <f>'Проверочная  таблица'!IR28</f>
        <v>0</v>
      </c>
      <c r="EU25" s="69">
        <f>'Проверочная  таблица'!JB28</f>
        <v>0</v>
      </c>
      <c r="EV25" s="74">
        <f>'Проверочная  таблица'!JD28</f>
        <v>0</v>
      </c>
      <c r="EW25" s="1057">
        <f>'Федеральные  средства  по  МО'!AQ26</f>
        <v>0</v>
      </c>
      <c r="EX25" s="74">
        <f>'Проверочная  таблица'!IU28</f>
        <v>0</v>
      </c>
      <c r="EY25" s="69">
        <f>'Проверочная  таблица'!JC28</f>
        <v>0</v>
      </c>
      <c r="EZ25" s="74">
        <f>'Проверочная  таблица'!JE28</f>
        <v>0</v>
      </c>
      <c r="FA25" s="79">
        <f>'Федеральные  средства  по  МО'!AR26</f>
        <v>14250000</v>
      </c>
      <c r="FB25" s="75">
        <f>FA25</f>
        <v>14250000</v>
      </c>
      <c r="FC25" s="69"/>
      <c r="FD25" s="76"/>
      <c r="FE25" s="73">
        <f>'Федеральные  средства  по  МО'!AS26</f>
        <v>0</v>
      </c>
      <c r="FF25" s="75">
        <f>FE25</f>
        <v>0</v>
      </c>
      <c r="FG25" s="69"/>
      <c r="FH25" s="74"/>
      <c r="FI25" s="79">
        <f>'Федеральные  средства  по  МО'!AT26</f>
        <v>0</v>
      </c>
      <c r="FJ25" s="75"/>
      <c r="FK25" s="69"/>
      <c r="FL25" s="76"/>
      <c r="FM25" s="73">
        <f>'Федеральные  средства  по  МО'!AU26</f>
        <v>0</v>
      </c>
      <c r="FN25" s="69"/>
      <c r="FO25" s="74"/>
      <c r="FP25" s="69"/>
      <c r="FQ25" s="78">
        <f>'Федеральные  средства  по  МО'!AV26</f>
        <v>13173.939999999988</v>
      </c>
      <c r="FR25" s="76">
        <f>'Проверочная  таблица'!JT28</f>
        <v>6586.9699999999939</v>
      </c>
      <c r="FS25" s="74">
        <f>'Проверочная  таблица'!KF28</f>
        <v>-35012.050000000003</v>
      </c>
      <c r="FT25" s="74">
        <f>'Проверочная  таблица'!KL28</f>
        <v>41599.019999999997</v>
      </c>
      <c r="FU25" s="77">
        <f>'Федеральные  средства  по  МО'!AW26</f>
        <v>0</v>
      </c>
      <c r="FV25" s="74">
        <f>'Проверочная  таблица'!JW28</f>
        <v>0</v>
      </c>
      <c r="FW25" s="69">
        <f>'Проверочная  таблица'!KI28</f>
        <v>0</v>
      </c>
      <c r="FX25" s="74">
        <f>'Проверочная  таблица'!KO28</f>
        <v>0</v>
      </c>
      <c r="FY25" s="78">
        <f>'Федеральные  средства  по  МО'!AX26</f>
        <v>185321.32</v>
      </c>
      <c r="FZ25" s="74"/>
      <c r="GA25" s="69">
        <f t="shared" si="46"/>
        <v>185321.32</v>
      </c>
      <c r="GB25" s="74"/>
      <c r="GC25" s="73">
        <f>'Федеральные  средства  по  МО'!AY26</f>
        <v>0</v>
      </c>
      <c r="GD25" s="69"/>
      <c r="GE25" s="74">
        <f t="shared" si="47"/>
        <v>0</v>
      </c>
      <c r="GF25" s="69"/>
      <c r="GG25" s="73">
        <f>'Федеральные  средства  по  МО'!AZ26</f>
        <v>43463.33</v>
      </c>
      <c r="GH25" s="75">
        <f t="shared" si="48"/>
        <v>43463.33</v>
      </c>
      <c r="GI25" s="69"/>
      <c r="GJ25" s="76"/>
      <c r="GK25" s="73">
        <f>'Федеральные  средства  по  МО'!BA26</f>
        <v>0</v>
      </c>
      <c r="GL25" s="75">
        <f t="shared" si="49"/>
        <v>0</v>
      </c>
      <c r="GM25" s="69"/>
      <c r="GN25" s="74"/>
      <c r="GO25" s="79">
        <f>'Федеральные  средства  по  МО'!BB26</f>
        <v>8472600</v>
      </c>
      <c r="GP25" s="69"/>
      <c r="GQ25" s="76">
        <f>'Проверочная  таблица'!MO28</f>
        <v>8472600</v>
      </c>
      <c r="GR25" s="74">
        <f>'Проверочная  таблица'!MW28</f>
        <v>0</v>
      </c>
      <c r="GS25" s="77">
        <f>'Федеральные  средства  по  МО'!BC26</f>
        <v>7745644.3099999996</v>
      </c>
      <c r="GT25" s="76"/>
      <c r="GU25" s="74">
        <f>'Проверочная  таблица'!MS28</f>
        <v>7745644.3099999996</v>
      </c>
      <c r="GV25" s="75">
        <f>'Проверочная  таблица'!NA28</f>
        <v>0</v>
      </c>
      <c r="GW25" s="77">
        <f>'Федеральные  средства  по  МО'!BD26</f>
        <v>0</v>
      </c>
      <c r="GX25" s="74">
        <f t="shared" si="50"/>
        <v>0</v>
      </c>
      <c r="GY25" s="69"/>
      <c r="GZ25" s="76"/>
      <c r="HA25" s="73">
        <f>'Федеральные  средства  по  МО'!BE26</f>
        <v>0</v>
      </c>
      <c r="HB25" s="74">
        <f t="shared" si="51"/>
        <v>0</v>
      </c>
      <c r="HC25" s="75"/>
      <c r="HD25" s="69"/>
      <c r="HE25" s="73">
        <f>'Федеральные  средства  по  МО'!BF26</f>
        <v>0</v>
      </c>
      <c r="HF25" s="76">
        <f t="shared" si="52"/>
        <v>0</v>
      </c>
      <c r="HG25" s="74"/>
      <c r="HH25" s="75"/>
      <c r="HI25" s="79">
        <f>'Федеральные  средства  по  МО'!BG26</f>
        <v>0</v>
      </c>
      <c r="HJ25" s="76">
        <f t="shared" si="12"/>
        <v>0</v>
      </c>
      <c r="HK25" s="74"/>
      <c r="HL25" s="75"/>
      <c r="HM25" s="78">
        <f>'Федеральные  средства  по  МО'!BH26</f>
        <v>60346.559999999998</v>
      </c>
      <c r="HN25" s="76">
        <f t="shared" si="53"/>
        <v>41599.019999999997</v>
      </c>
      <c r="HO25" s="74"/>
      <c r="HP25" s="75">
        <f>'Проверочная  таблица'!OF28</f>
        <v>18747.54</v>
      </c>
      <c r="HQ25" s="79">
        <f>'Федеральные  средства  по  МО'!BI26</f>
        <v>41599.019999999997</v>
      </c>
      <c r="HR25" s="76">
        <f t="shared" si="54"/>
        <v>41599.019999999997</v>
      </c>
      <c r="HS25" s="76"/>
      <c r="HT25" s="74">
        <f>'Проверочная  таблица'!OI28</f>
        <v>0</v>
      </c>
      <c r="HU25" s="79">
        <f>'Федеральные  средства  по  МО'!BJ26</f>
        <v>0</v>
      </c>
      <c r="HV25" s="75">
        <f t="shared" si="55"/>
        <v>0</v>
      </c>
      <c r="HW25" s="69"/>
      <c r="HX25" s="76"/>
      <c r="HY25" s="73">
        <f>'Федеральные  средства  по  МО'!BK26</f>
        <v>0</v>
      </c>
      <c r="HZ25" s="75">
        <f t="shared" si="13"/>
        <v>0</v>
      </c>
      <c r="IA25" s="69"/>
      <c r="IB25" s="74"/>
      <c r="IC25" s="78">
        <f>'Федеральные  средства  по  МО'!BL26</f>
        <v>29744209.579999998</v>
      </c>
      <c r="ID25" s="76"/>
      <c r="IE25" s="74"/>
      <c r="IF25" s="75">
        <f>'Проверочная  таблица'!PR28</f>
        <v>15600000</v>
      </c>
      <c r="IG25" s="77">
        <f>'Федеральные  средства  по  МО'!BM26</f>
        <v>12434178.039999999</v>
      </c>
      <c r="IH25" s="76"/>
      <c r="II25" s="74"/>
      <c r="IJ25" s="75">
        <f>'Проверочная  таблица'!PV28</f>
        <v>12434178.039999999</v>
      </c>
      <c r="IK25" s="78">
        <f>'Федеральные  средства  по  МО'!BN26</f>
        <v>0</v>
      </c>
      <c r="IL25" s="76">
        <f>'Проверочная  таблица'!PZ28</f>
        <v>0</v>
      </c>
      <c r="IM25" s="74">
        <f t="shared" si="56"/>
        <v>0</v>
      </c>
      <c r="IN25" s="75"/>
      <c r="IO25" s="77">
        <f>'Федеральные  средства  по  МО'!BO26</f>
        <v>0</v>
      </c>
      <c r="IP25" s="76">
        <f>'Проверочная  таблица'!QE28</f>
        <v>0</v>
      </c>
      <c r="IQ25" s="74">
        <f t="shared" si="57"/>
        <v>0</v>
      </c>
      <c r="IR25" s="75"/>
      <c r="IS25" s="78">
        <f>'Федеральные  средства  по  МО'!BR26</f>
        <v>0</v>
      </c>
      <c r="IT25" s="74">
        <f t="shared" si="58"/>
        <v>0</v>
      </c>
      <c r="IU25" s="69"/>
      <c r="IV25" s="74"/>
      <c r="IW25" s="79">
        <f>'Федеральные  средства  по  МО'!BS26</f>
        <v>0</v>
      </c>
      <c r="IX25" s="75">
        <f t="shared" si="59"/>
        <v>0</v>
      </c>
      <c r="IY25" s="75"/>
      <c r="IZ25" s="74"/>
      <c r="JA25" s="78">
        <f>'Федеральные  средства  по  МО'!BT26</f>
        <v>0</v>
      </c>
      <c r="JB25" s="74">
        <f>'Проверочная  таблица'!RN28</f>
        <v>0</v>
      </c>
      <c r="JC25" s="69">
        <f>'Проверочная  таблица'!RT28</f>
        <v>0</v>
      </c>
      <c r="JD25" s="74">
        <f>'Проверочная  таблица'!RZ28</f>
        <v>0</v>
      </c>
      <c r="JE25" s="77">
        <f>'Федеральные  средства  по  МО'!BU26</f>
        <v>0</v>
      </c>
      <c r="JF25" s="74">
        <f>'Проверочная  таблица'!RK28</f>
        <v>0</v>
      </c>
      <c r="JG25" s="69">
        <f>'Проверочная  таблица'!RW28</f>
        <v>0</v>
      </c>
      <c r="JH25" s="76">
        <f>'Проверочная  таблица'!SC28</f>
        <v>0</v>
      </c>
      <c r="JI25" s="73">
        <f>'Федеральные  средства  по  МО'!BV26</f>
        <v>0</v>
      </c>
      <c r="JJ25" s="74">
        <f t="shared" si="60"/>
        <v>0</v>
      </c>
      <c r="JK25" s="69"/>
      <c r="JL25" s="74"/>
      <c r="JM25" s="79">
        <f>'Федеральные  средства  по  МО'!BW26</f>
        <v>0</v>
      </c>
      <c r="JN25" s="75">
        <f t="shared" si="61"/>
        <v>0</v>
      </c>
      <c r="JO25" s="69"/>
      <c r="JP25" s="76"/>
      <c r="JQ25" s="78">
        <f>'Федеральные  средства  по  МО'!BX26</f>
        <v>0</v>
      </c>
      <c r="JR25" s="74">
        <f t="shared" si="62"/>
        <v>0</v>
      </c>
      <c r="JS25" s="69"/>
      <c r="JT25" s="74"/>
      <c r="JU25" s="79">
        <f>'Федеральные  средства  по  МО'!BY26</f>
        <v>0</v>
      </c>
      <c r="JV25" s="74">
        <f t="shared" si="63"/>
        <v>0</v>
      </c>
      <c r="JW25" s="69"/>
      <c r="JX25" s="74"/>
      <c r="JY25" s="78">
        <f>'Федеральные  средства  по  МО'!BZ26</f>
        <v>0</v>
      </c>
      <c r="JZ25" s="74">
        <f t="shared" si="64"/>
        <v>0</v>
      </c>
      <c r="KA25" s="69"/>
      <c r="KB25" s="74"/>
      <c r="KC25" s="77">
        <f>'Федеральные  средства  по  МО'!CA26</f>
        <v>0</v>
      </c>
      <c r="KD25" s="74">
        <f t="shared" si="65"/>
        <v>0</v>
      </c>
      <c r="KE25" s="69"/>
      <c r="KF25" s="74"/>
      <c r="KG25" s="77">
        <f>'Федеральные  средства  по  МО'!CB26</f>
        <v>26023031.159999996</v>
      </c>
      <c r="KH25" s="76">
        <f>'Проверочная  таблица'!SZ28</f>
        <v>0</v>
      </c>
      <c r="KI25" s="74">
        <f>'Проверочная  таблица'!UB28</f>
        <v>26023031.159999996</v>
      </c>
      <c r="KJ25" s="69">
        <f>'Проверочная  таблица'!UP28</f>
        <v>0</v>
      </c>
      <c r="KK25" s="1043">
        <f>'Федеральные  средства  по  МО'!CC26</f>
        <v>5776177.8199999994</v>
      </c>
      <c r="KL25" s="69">
        <f>'Проверочная  таблица'!TG28</f>
        <v>0</v>
      </c>
      <c r="KM25" s="74">
        <f>'Проверочная  таблица'!UI28</f>
        <v>5776177.8199999994</v>
      </c>
      <c r="KN25" s="75">
        <f>'Проверочная  таблица'!UW28</f>
        <v>0</v>
      </c>
      <c r="KO25" s="77">
        <f>'Федеральные  средства  по  МО'!CD26</f>
        <v>0</v>
      </c>
      <c r="KP25" s="74">
        <f>'Проверочная  таблица'!TB28</f>
        <v>0</v>
      </c>
      <c r="KQ25" s="69">
        <f t="shared" si="66"/>
        <v>0</v>
      </c>
      <c r="KR25" s="74"/>
      <c r="KS25" s="77">
        <f>'Федеральные  средства  по  МО'!CE26</f>
        <v>0</v>
      </c>
      <c r="KT25" s="74">
        <f>'Проверочная  таблица'!TI28</f>
        <v>0</v>
      </c>
      <c r="KU25" s="69">
        <f t="shared" si="67"/>
        <v>0</v>
      </c>
      <c r="KV25" s="76"/>
      <c r="KW25" s="78">
        <f>'Федеральные  средства  по  МО'!CF26</f>
        <v>0</v>
      </c>
      <c r="KX25" s="76">
        <f>'Проверочная  таблица'!TD28</f>
        <v>0</v>
      </c>
      <c r="KY25" s="74">
        <f>'Проверочная  таблица'!UF28</f>
        <v>0</v>
      </c>
      <c r="KZ25" s="75"/>
      <c r="LA25" s="77">
        <f>'Федеральные  средства  по  МО'!CG26</f>
        <v>0</v>
      </c>
      <c r="LB25" s="76">
        <f>'Проверочная  таблица'!TK28</f>
        <v>0</v>
      </c>
      <c r="LC25" s="74">
        <f>'Проверочная  таблица'!TY28</f>
        <v>0</v>
      </c>
      <c r="LD25" s="74"/>
    </row>
    <row r="26" spans="1:316" ht="25.5" customHeight="1" x14ac:dyDescent="0.25">
      <c r="A26" s="70" t="s">
        <v>334</v>
      </c>
      <c r="B26" s="71">
        <f t="shared" si="14"/>
        <v>3534100.7300000009</v>
      </c>
      <c r="C26" s="72">
        <f t="shared" si="15"/>
        <v>3156971.9500000011</v>
      </c>
      <c r="D26" s="72">
        <f t="shared" si="16"/>
        <v>298598.05000000005</v>
      </c>
      <c r="E26" s="72">
        <f t="shared" si="17"/>
        <v>78530.73</v>
      </c>
      <c r="F26" s="71">
        <f t="shared" si="18"/>
        <v>78530.73</v>
      </c>
      <c r="G26" s="72">
        <f t="shared" si="19"/>
        <v>78530.73</v>
      </c>
      <c r="H26" s="72">
        <f t="shared" si="1"/>
        <v>0</v>
      </c>
      <c r="I26" s="72">
        <f t="shared" si="2"/>
        <v>0</v>
      </c>
      <c r="J26" s="54"/>
      <c r="K26" s="55">
        <f>M26-'Федеральные  средства  по  МО'!N27-'Федеральные  средства  по  МО'!D27</f>
        <v>0</v>
      </c>
      <c r="L26" s="55">
        <f>Q26-'Федеральные  средства  по  МО'!O27-'Федеральные  средства  по  МО'!E27</f>
        <v>0</v>
      </c>
      <c r="M26" s="1083">
        <f t="shared" si="20"/>
        <v>24506992.050000001</v>
      </c>
      <c r="N26" s="72">
        <f t="shared" si="21"/>
        <v>15700040.050000001</v>
      </c>
      <c r="O26" s="72">
        <f t="shared" si="22"/>
        <v>298598.05000000005</v>
      </c>
      <c r="P26" s="72">
        <f t="shared" si="23"/>
        <v>78530.73</v>
      </c>
      <c r="Q26" s="1083">
        <f t="shared" si="24"/>
        <v>78530.73</v>
      </c>
      <c r="R26" s="72">
        <f t="shared" si="25"/>
        <v>78530.73</v>
      </c>
      <c r="S26" s="72">
        <f t="shared" si="26"/>
        <v>0</v>
      </c>
      <c r="T26" s="72">
        <f t="shared" si="27"/>
        <v>0</v>
      </c>
      <c r="U26" s="73">
        <f>'Федеральные  средства  по  МО'!F27</f>
        <v>0</v>
      </c>
      <c r="V26" s="69">
        <f>'Проверочная  таблица'!BT29</f>
        <v>0</v>
      </c>
      <c r="W26" s="74">
        <f>'Проверочная  таблица'!BX29</f>
        <v>0</v>
      </c>
      <c r="X26" s="69">
        <f>'Проверочная  таблица'!BZ29</f>
        <v>0</v>
      </c>
      <c r="Y26" s="73">
        <f>'Федеральные  средства  по  МО'!G27</f>
        <v>0</v>
      </c>
      <c r="Z26" s="69">
        <f>'Проверочная  таблица'!BU29</f>
        <v>0</v>
      </c>
      <c r="AA26" s="74">
        <f>'Проверочная  таблица'!BY29</f>
        <v>0</v>
      </c>
      <c r="AB26" s="69">
        <f>'Проверочная  таблица'!CA29</f>
        <v>0</v>
      </c>
      <c r="AC26" s="1043">
        <f>'Федеральные  средства  по  МО'!H27</f>
        <v>12543068.1</v>
      </c>
      <c r="AD26" s="75">
        <f t="shared" si="28"/>
        <v>12543068.1</v>
      </c>
      <c r="AE26" s="69"/>
      <c r="AF26" s="76"/>
      <c r="AG26" s="1043">
        <f>'Федеральные  средства  по  МО'!I27</f>
        <v>0</v>
      </c>
      <c r="AH26" s="75">
        <f t="shared" si="29"/>
        <v>0</v>
      </c>
      <c r="AI26" s="69"/>
      <c r="AJ26" s="74"/>
      <c r="AK26" s="73">
        <f>'Федеральные  средства  по  МО'!J27</f>
        <v>0</v>
      </c>
      <c r="AL26" s="75">
        <f t="shared" si="30"/>
        <v>0</v>
      </c>
      <c r="AM26" s="69"/>
      <c r="AN26" s="76"/>
      <c r="AO26" s="73">
        <f>'Федеральные  средства  по  МО'!K27</f>
        <v>0</v>
      </c>
      <c r="AP26" s="75">
        <f t="shared" si="31"/>
        <v>0</v>
      </c>
      <c r="AQ26" s="69"/>
      <c r="AR26" s="74"/>
      <c r="AS26" s="77">
        <f>'Федеральные  средства  по  МО'!P27</f>
        <v>0</v>
      </c>
      <c r="AT26" s="74">
        <f>'Проверочная  таблица'!CX29</f>
        <v>0</v>
      </c>
      <c r="AU26" s="69"/>
      <c r="AV26" s="76"/>
      <c r="AW26" s="78">
        <f>'Федеральные  средства  по  МО'!Q27</f>
        <v>0</v>
      </c>
      <c r="AX26" s="74">
        <f>'Проверочная  таблица'!DE29</f>
        <v>0</v>
      </c>
      <c r="AY26" s="75"/>
      <c r="AZ26" s="69"/>
      <c r="BA26" s="78">
        <f>'Федеральные  средства  по  МО'!R27</f>
        <v>0</v>
      </c>
      <c r="BB26" s="74">
        <f>'Проверочная  таблица'!CZ29</f>
        <v>0</v>
      </c>
      <c r="BC26" s="69"/>
      <c r="BD26" s="74">
        <f>'Проверочная  таблица'!DL29</f>
        <v>0</v>
      </c>
      <c r="BE26" s="77">
        <f>'Федеральные  средства  по  МО'!S27</f>
        <v>0</v>
      </c>
      <c r="BF26" s="74">
        <f>'Проверочная  таблица'!DG29</f>
        <v>0</v>
      </c>
      <c r="BG26" s="69"/>
      <c r="BH26" s="74">
        <f>'Проверочная  таблица'!DO29</f>
        <v>0</v>
      </c>
      <c r="BI26" s="77">
        <f>'Федеральные  средства  по  МО'!T27</f>
        <v>0</v>
      </c>
      <c r="BJ26" s="74">
        <f t="shared" si="32"/>
        <v>0</v>
      </c>
      <c r="BK26" s="69"/>
      <c r="BL26" s="74"/>
      <c r="BM26" s="79">
        <f>'Федеральные  средства  по  МО'!U27</f>
        <v>0</v>
      </c>
      <c r="BN26" s="74">
        <f t="shared" si="33"/>
        <v>0</v>
      </c>
      <c r="BO26" s="75"/>
      <c r="BP26" s="75"/>
      <c r="BQ26" s="73">
        <f>'Федеральные  средства  по  МО'!V27</f>
        <v>2991400</v>
      </c>
      <c r="BR26" s="75">
        <f t="shared" si="4"/>
        <v>2991400</v>
      </c>
      <c r="BS26" s="74"/>
      <c r="BT26" s="69"/>
      <c r="BU26" s="73">
        <f>'Федеральные  средства  по  МО'!W27</f>
        <v>0</v>
      </c>
      <c r="BV26" s="75">
        <f t="shared" si="5"/>
        <v>0</v>
      </c>
      <c r="BW26" s="74"/>
      <c r="BX26" s="69"/>
      <c r="BY26" s="73">
        <f>'Федеральные  средства  по  МО'!X27</f>
        <v>0</v>
      </c>
      <c r="BZ26" s="75">
        <f t="shared" si="6"/>
        <v>0</v>
      </c>
      <c r="CA26" s="74"/>
      <c r="CB26" s="69"/>
      <c r="CC26" s="73">
        <f>'Федеральные  средства  по  МО'!Y27</f>
        <v>0</v>
      </c>
      <c r="CD26" s="75">
        <f t="shared" si="7"/>
        <v>0</v>
      </c>
      <c r="CE26" s="74"/>
      <c r="CF26" s="69"/>
      <c r="CG26" s="73">
        <f>'Федеральные  средства  по  МО'!Z27</f>
        <v>0</v>
      </c>
      <c r="CH26" s="75">
        <f t="shared" si="8"/>
        <v>0</v>
      </c>
      <c r="CI26" s="69"/>
      <c r="CJ26" s="76"/>
      <c r="CK26" s="73">
        <f>'Федеральные  средства  по  МО'!AA27</f>
        <v>0</v>
      </c>
      <c r="CL26" s="75">
        <f t="shared" si="9"/>
        <v>0</v>
      </c>
      <c r="CM26" s="74"/>
      <c r="CN26" s="75"/>
      <c r="CO26" s="78">
        <f>'Федеральные  средства  по  МО'!AB27</f>
        <v>0</v>
      </c>
      <c r="CP26" s="74">
        <f t="shared" si="34"/>
        <v>0</v>
      </c>
      <c r="CQ26" s="69"/>
      <c r="CR26" s="74"/>
      <c r="CS26" s="77">
        <f>'Федеральные  средства  по  МО'!AC27</f>
        <v>0</v>
      </c>
      <c r="CT26" s="74">
        <f t="shared" si="35"/>
        <v>0</v>
      </c>
      <c r="CU26" s="69"/>
      <c r="CV26" s="74"/>
      <c r="CW26" s="78">
        <f>'Федеральные  средства  по  МО'!AD27</f>
        <v>0</v>
      </c>
      <c r="CX26" s="76">
        <f>'Проверочная  таблица'!FD29</f>
        <v>0</v>
      </c>
      <c r="CY26" s="74">
        <f t="shared" si="36"/>
        <v>0</v>
      </c>
      <c r="CZ26" s="75"/>
      <c r="DA26" s="77">
        <f>'Федеральные  средства  по  МО'!AE27</f>
        <v>0</v>
      </c>
      <c r="DB26" s="76">
        <f>'Проверочная  таблица'!FG29</f>
        <v>0</v>
      </c>
      <c r="DC26" s="74">
        <f t="shared" si="37"/>
        <v>0</v>
      </c>
      <c r="DD26" s="69"/>
      <c r="DE26" s="73">
        <f>'Федеральные  средства  по  МО'!AF27</f>
        <v>0</v>
      </c>
      <c r="DF26" s="75">
        <f t="shared" si="38"/>
        <v>0</v>
      </c>
      <c r="DG26" s="69"/>
      <c r="DH26" s="76"/>
      <c r="DI26" s="73">
        <f>'Федеральные  средства  по  МО'!AG27</f>
        <v>0</v>
      </c>
      <c r="DJ26" s="75">
        <f t="shared" si="39"/>
        <v>0</v>
      </c>
      <c r="DK26" s="69"/>
      <c r="DL26" s="76"/>
      <c r="DM26" s="73">
        <f>'Федеральные  средства  по  МО'!AH27</f>
        <v>0</v>
      </c>
      <c r="DN26" s="75">
        <f t="shared" si="40"/>
        <v>0</v>
      </c>
      <c r="DO26" s="69"/>
      <c r="DP26" s="76"/>
      <c r="DQ26" s="73">
        <f>'Федеральные  средства  по  МО'!AI27</f>
        <v>0</v>
      </c>
      <c r="DR26" s="75">
        <f t="shared" si="41"/>
        <v>0</v>
      </c>
      <c r="DS26" s="69"/>
      <c r="DT26" s="74"/>
      <c r="DU26" s="78">
        <f>'Федеральные  средства  по  МО'!AJ27</f>
        <v>0</v>
      </c>
      <c r="DV26" s="74">
        <f t="shared" si="42"/>
        <v>0</v>
      </c>
      <c r="DW26" s="69"/>
      <c r="DX26" s="74"/>
      <c r="DY26" s="77">
        <f>'Федеральные  средства  по  МО'!AK27</f>
        <v>0</v>
      </c>
      <c r="DZ26" s="74">
        <f t="shared" si="43"/>
        <v>0</v>
      </c>
      <c r="EA26" s="69"/>
      <c r="EB26" s="76"/>
      <c r="EC26" s="73">
        <f>'Федеральные  средства  по  МО'!AL27</f>
        <v>0</v>
      </c>
      <c r="ED26" s="69">
        <f t="shared" si="10"/>
        <v>0</v>
      </c>
      <c r="EE26" s="74"/>
      <c r="EF26" s="69"/>
      <c r="EG26" s="73">
        <f>'Федеральные  средства  по  МО'!AM27</f>
        <v>0</v>
      </c>
      <c r="EH26" s="69">
        <f t="shared" si="11"/>
        <v>0</v>
      </c>
      <c r="EI26" s="74"/>
      <c r="EJ26" s="69"/>
      <c r="EK26" s="78">
        <f>'Федеральные  средства  по  МО'!AN27</f>
        <v>0</v>
      </c>
      <c r="EL26" s="74"/>
      <c r="EM26" s="69"/>
      <c r="EN26" s="74">
        <f t="shared" si="44"/>
        <v>0</v>
      </c>
      <c r="EO26" s="77">
        <f>'Федеральные  средства  по  МО'!AO27</f>
        <v>0</v>
      </c>
      <c r="EP26" s="74"/>
      <c r="EQ26" s="69"/>
      <c r="ER26" s="76">
        <f t="shared" si="45"/>
        <v>0</v>
      </c>
      <c r="ES26" s="1055">
        <f>'Федеральные  средства  по  МО'!AP27</f>
        <v>0</v>
      </c>
      <c r="ET26" s="74">
        <f>'Проверочная  таблица'!IR29</f>
        <v>0</v>
      </c>
      <c r="EU26" s="69">
        <f>'Проверочная  таблица'!JB29</f>
        <v>0</v>
      </c>
      <c r="EV26" s="74">
        <f>'Проверочная  таблица'!JD29</f>
        <v>0</v>
      </c>
      <c r="EW26" s="1057">
        <f>'Федеральные  средства  по  МО'!AQ27</f>
        <v>0</v>
      </c>
      <c r="EX26" s="74">
        <f>'Проверочная  таблица'!IU29</f>
        <v>0</v>
      </c>
      <c r="EY26" s="69">
        <f>'Проверочная  таблица'!JC29</f>
        <v>0</v>
      </c>
      <c r="EZ26" s="74">
        <f>'Проверочная  таблица'!JE29</f>
        <v>0</v>
      </c>
      <c r="FA26" s="79">
        <f>'Федеральные  средства  по  МО'!AR27</f>
        <v>0</v>
      </c>
      <c r="FB26" s="75">
        <f t="shared" ref="FB26:FB27" si="68">FA26</f>
        <v>0</v>
      </c>
      <c r="FC26" s="69"/>
      <c r="FD26" s="76"/>
      <c r="FE26" s="73">
        <f>'Федеральные  средства  по  МО'!AS27</f>
        <v>0</v>
      </c>
      <c r="FF26" s="75">
        <f t="shared" ref="FF26:FF27" si="69">FE26</f>
        <v>0</v>
      </c>
      <c r="FG26" s="69"/>
      <c r="FH26" s="74"/>
      <c r="FI26" s="79">
        <f>'Федеральные  средства  по  МО'!AT27</f>
        <v>0</v>
      </c>
      <c r="FJ26" s="75"/>
      <c r="FK26" s="69"/>
      <c r="FL26" s="76"/>
      <c r="FM26" s="73">
        <f>'Федеральные  средства  по  МО'!AU27</f>
        <v>0</v>
      </c>
      <c r="FN26" s="69"/>
      <c r="FO26" s="74"/>
      <c r="FP26" s="69"/>
      <c r="FQ26" s="78">
        <f>'Федеральные  средства  по  МО'!AV27</f>
        <v>0</v>
      </c>
      <c r="FR26" s="76">
        <f>'Проверочная  таблица'!JT29</f>
        <v>0</v>
      </c>
      <c r="FS26" s="74">
        <f>'Проверочная  таблица'!KF29</f>
        <v>-78530.73</v>
      </c>
      <c r="FT26" s="74">
        <f>'Проверочная  таблица'!KL29</f>
        <v>78530.73</v>
      </c>
      <c r="FU26" s="77">
        <f>'Федеральные  средства  по  МО'!AW27</f>
        <v>0</v>
      </c>
      <c r="FV26" s="74">
        <f>'Проверочная  таблица'!JW29</f>
        <v>0</v>
      </c>
      <c r="FW26" s="69">
        <f>'Проверочная  таблица'!KI29</f>
        <v>0</v>
      </c>
      <c r="FX26" s="74">
        <f>'Проверочная  таблица'!KO29</f>
        <v>0</v>
      </c>
      <c r="FY26" s="78">
        <f>'Федеральные  средства  по  МО'!AX27</f>
        <v>377128.78</v>
      </c>
      <c r="FZ26" s="74"/>
      <c r="GA26" s="69">
        <f t="shared" si="46"/>
        <v>377128.78</v>
      </c>
      <c r="GB26" s="74"/>
      <c r="GC26" s="73">
        <f>'Федеральные  средства  по  МО'!AY27</f>
        <v>0</v>
      </c>
      <c r="GD26" s="69"/>
      <c r="GE26" s="74">
        <f t="shared" si="47"/>
        <v>0</v>
      </c>
      <c r="GF26" s="69"/>
      <c r="GG26" s="73">
        <f>'Федеральные  средства  по  МО'!AZ27</f>
        <v>87041.22</v>
      </c>
      <c r="GH26" s="75">
        <f t="shared" si="48"/>
        <v>87041.22</v>
      </c>
      <c r="GI26" s="69"/>
      <c r="GJ26" s="76"/>
      <c r="GK26" s="73">
        <f>'Федеральные  средства  по  МО'!BA27</f>
        <v>0</v>
      </c>
      <c r="GL26" s="75">
        <f t="shared" si="49"/>
        <v>0</v>
      </c>
      <c r="GM26" s="69"/>
      <c r="GN26" s="74"/>
      <c r="GO26" s="79">
        <f>'Федеральные  средства  по  МО'!BB27</f>
        <v>0</v>
      </c>
      <c r="GP26" s="69"/>
      <c r="GQ26" s="76">
        <f>'Проверочная  таблица'!MO29</f>
        <v>0</v>
      </c>
      <c r="GR26" s="74">
        <f>'Проверочная  таблица'!MW29</f>
        <v>0</v>
      </c>
      <c r="GS26" s="77">
        <f>'Федеральные  средства  по  МО'!BC27</f>
        <v>0</v>
      </c>
      <c r="GT26" s="76"/>
      <c r="GU26" s="74">
        <f>'Проверочная  таблица'!MS29</f>
        <v>0</v>
      </c>
      <c r="GV26" s="75">
        <f>'Проверочная  таблица'!NA29</f>
        <v>0</v>
      </c>
      <c r="GW26" s="77">
        <f>'Федеральные  средства  по  МО'!BD27</f>
        <v>0</v>
      </c>
      <c r="GX26" s="74">
        <f t="shared" si="50"/>
        <v>0</v>
      </c>
      <c r="GY26" s="69"/>
      <c r="GZ26" s="76"/>
      <c r="HA26" s="73">
        <f>'Федеральные  средства  по  МО'!BE27</f>
        <v>0</v>
      </c>
      <c r="HB26" s="74">
        <f t="shared" si="51"/>
        <v>0</v>
      </c>
      <c r="HC26" s="75"/>
      <c r="HD26" s="69"/>
      <c r="HE26" s="73">
        <f>'Федеральные  средства  по  МО'!BF27</f>
        <v>0</v>
      </c>
      <c r="HF26" s="76">
        <f t="shared" si="52"/>
        <v>0</v>
      </c>
      <c r="HG26" s="74"/>
      <c r="HH26" s="75"/>
      <c r="HI26" s="79">
        <f>'Федеральные  средства  по  МО'!BG27</f>
        <v>0</v>
      </c>
      <c r="HJ26" s="76">
        <f t="shared" si="12"/>
        <v>0</v>
      </c>
      <c r="HK26" s="74"/>
      <c r="HL26" s="75"/>
      <c r="HM26" s="78">
        <f>'Федеральные  средства  по  МО'!BH27</f>
        <v>78530.73</v>
      </c>
      <c r="HN26" s="76">
        <f t="shared" si="53"/>
        <v>78530.73</v>
      </c>
      <c r="HO26" s="74"/>
      <c r="HP26" s="75">
        <f>'Проверочная  таблица'!OF29</f>
        <v>0</v>
      </c>
      <c r="HQ26" s="79">
        <f>'Федеральные  средства  по  МО'!BI27</f>
        <v>78530.73</v>
      </c>
      <c r="HR26" s="76">
        <f t="shared" si="54"/>
        <v>78530.73</v>
      </c>
      <c r="HS26" s="76"/>
      <c r="HT26" s="74">
        <f>'Проверочная  таблица'!OI29</f>
        <v>0</v>
      </c>
      <c r="HU26" s="79">
        <f>'Федеральные  средства  по  МО'!BJ27</f>
        <v>0</v>
      </c>
      <c r="HV26" s="75">
        <f t="shared" si="55"/>
        <v>0</v>
      </c>
      <c r="HW26" s="69"/>
      <c r="HX26" s="76"/>
      <c r="HY26" s="73">
        <f>'Федеральные  средства  по  МО'!BK27</f>
        <v>0</v>
      </c>
      <c r="HZ26" s="75">
        <f t="shared" si="13"/>
        <v>0</v>
      </c>
      <c r="IA26" s="69"/>
      <c r="IB26" s="74"/>
      <c r="IC26" s="78">
        <f>'Федеральные  средства  по  МО'!BL27</f>
        <v>8429823.2200000007</v>
      </c>
      <c r="ID26" s="76"/>
      <c r="IE26" s="74"/>
      <c r="IF26" s="75">
        <f>'Проверочная  таблица'!PR29</f>
        <v>0</v>
      </c>
      <c r="IG26" s="77">
        <f>'Федеральные  средства  по  МО'!BM27</f>
        <v>0</v>
      </c>
      <c r="IH26" s="76"/>
      <c r="II26" s="74"/>
      <c r="IJ26" s="75">
        <f>'Проверочная  таблица'!PV29</f>
        <v>0</v>
      </c>
      <c r="IK26" s="78">
        <f>'Федеральные  средства  по  МО'!BN27</f>
        <v>0</v>
      </c>
      <c r="IL26" s="76">
        <f>'Проверочная  таблица'!PZ29</f>
        <v>0</v>
      </c>
      <c r="IM26" s="74">
        <f t="shared" si="56"/>
        <v>0</v>
      </c>
      <c r="IN26" s="75"/>
      <c r="IO26" s="77">
        <f>'Федеральные  средства  по  МО'!BO27</f>
        <v>0</v>
      </c>
      <c r="IP26" s="76">
        <f>'Проверочная  таблица'!QE29</f>
        <v>0</v>
      </c>
      <c r="IQ26" s="74">
        <f t="shared" si="57"/>
        <v>0</v>
      </c>
      <c r="IR26" s="75"/>
      <c r="IS26" s="78">
        <f>'Федеральные  средства  по  МО'!BR27</f>
        <v>0</v>
      </c>
      <c r="IT26" s="74">
        <f t="shared" si="58"/>
        <v>0</v>
      </c>
      <c r="IU26" s="69"/>
      <c r="IV26" s="74"/>
      <c r="IW26" s="79">
        <f>'Федеральные  средства  по  МО'!BS27</f>
        <v>0</v>
      </c>
      <c r="IX26" s="75">
        <f t="shared" si="59"/>
        <v>0</v>
      </c>
      <c r="IY26" s="75"/>
      <c r="IZ26" s="74"/>
      <c r="JA26" s="78">
        <f>'Федеральные  средства  по  МО'!BT27</f>
        <v>0</v>
      </c>
      <c r="JB26" s="74">
        <f>'Проверочная  таблица'!RN29</f>
        <v>0</v>
      </c>
      <c r="JC26" s="69">
        <f>'Проверочная  таблица'!RT29</f>
        <v>0</v>
      </c>
      <c r="JD26" s="74">
        <f>'Проверочная  таблица'!RZ29</f>
        <v>0</v>
      </c>
      <c r="JE26" s="77">
        <f>'Федеральные  средства  по  МО'!BU27</f>
        <v>0</v>
      </c>
      <c r="JF26" s="74">
        <f>'Проверочная  таблица'!RK29</f>
        <v>0</v>
      </c>
      <c r="JG26" s="69">
        <f>'Проверочная  таблица'!RW29</f>
        <v>0</v>
      </c>
      <c r="JH26" s="76">
        <f>'Проверочная  таблица'!SC29</f>
        <v>0</v>
      </c>
      <c r="JI26" s="73">
        <f>'Федеральные  средства  по  МО'!BV27</f>
        <v>0</v>
      </c>
      <c r="JJ26" s="74">
        <f t="shared" si="60"/>
        <v>0</v>
      </c>
      <c r="JK26" s="69"/>
      <c r="JL26" s="74"/>
      <c r="JM26" s="79">
        <f>'Федеральные  средства  по  МО'!BW27</f>
        <v>0</v>
      </c>
      <c r="JN26" s="75">
        <f t="shared" si="61"/>
        <v>0</v>
      </c>
      <c r="JO26" s="69"/>
      <c r="JP26" s="76"/>
      <c r="JQ26" s="78">
        <f>'Федеральные  средства  по  МО'!BX27</f>
        <v>0</v>
      </c>
      <c r="JR26" s="74">
        <f t="shared" si="62"/>
        <v>0</v>
      </c>
      <c r="JS26" s="69"/>
      <c r="JT26" s="74"/>
      <c r="JU26" s="79">
        <f>'Федеральные  средства  по  МО'!BY27</f>
        <v>0</v>
      </c>
      <c r="JV26" s="74">
        <f t="shared" si="63"/>
        <v>0</v>
      </c>
      <c r="JW26" s="69"/>
      <c r="JX26" s="74"/>
      <c r="JY26" s="78">
        <f>'Федеральные  средства  по  МО'!BZ27</f>
        <v>0</v>
      </c>
      <c r="JZ26" s="74">
        <f t="shared" si="64"/>
        <v>0</v>
      </c>
      <c r="KA26" s="69"/>
      <c r="KB26" s="74"/>
      <c r="KC26" s="77">
        <f>'Федеральные  средства  по  МО'!CA27</f>
        <v>0</v>
      </c>
      <c r="KD26" s="74">
        <f t="shared" si="65"/>
        <v>0</v>
      </c>
      <c r="KE26" s="69"/>
      <c r="KF26" s="74"/>
      <c r="KG26" s="77">
        <f>'Федеральные  средства  по  МО'!CB27</f>
        <v>0</v>
      </c>
      <c r="KH26" s="76">
        <f>'Проверочная  таблица'!SZ29</f>
        <v>0</v>
      </c>
      <c r="KI26" s="74">
        <f>'Проверочная  таблица'!UB29</f>
        <v>0</v>
      </c>
      <c r="KJ26" s="69">
        <f>'Проверочная  таблица'!UP29</f>
        <v>0</v>
      </c>
      <c r="KK26" s="1043">
        <f>'Федеральные  средства  по  МО'!CC27</f>
        <v>0</v>
      </c>
      <c r="KL26" s="69">
        <f>'Проверочная  таблица'!TG29</f>
        <v>0</v>
      </c>
      <c r="KM26" s="74">
        <f>'Проверочная  таблица'!UI29</f>
        <v>0</v>
      </c>
      <c r="KN26" s="75">
        <f>'Проверочная  таблица'!UW29</f>
        <v>0</v>
      </c>
      <c r="KO26" s="77">
        <f>'Федеральные  средства  по  МО'!CD27</f>
        <v>0</v>
      </c>
      <c r="KP26" s="74">
        <f>'Проверочная  таблица'!TB29</f>
        <v>0</v>
      </c>
      <c r="KQ26" s="69">
        <f t="shared" si="66"/>
        <v>0</v>
      </c>
      <c r="KR26" s="74"/>
      <c r="KS26" s="77">
        <f>'Федеральные  средства  по  МО'!CE27</f>
        <v>0</v>
      </c>
      <c r="KT26" s="74">
        <f>'Проверочная  таблица'!TI29</f>
        <v>0</v>
      </c>
      <c r="KU26" s="69">
        <f t="shared" si="67"/>
        <v>0</v>
      </c>
      <c r="KV26" s="76"/>
      <c r="KW26" s="78">
        <f>'Федеральные  средства  по  МО'!CF27</f>
        <v>0</v>
      </c>
      <c r="KX26" s="76">
        <f>'Проверочная  таблица'!TD29</f>
        <v>0</v>
      </c>
      <c r="KY26" s="74">
        <f>'Проверочная  таблица'!UF29</f>
        <v>0</v>
      </c>
      <c r="KZ26" s="75"/>
      <c r="LA26" s="77">
        <f>'Федеральные  средства  по  МО'!CG27</f>
        <v>0</v>
      </c>
      <c r="LB26" s="76">
        <f>'Проверочная  таблица'!TK29</f>
        <v>0</v>
      </c>
      <c r="LC26" s="74">
        <f>'Проверочная  таблица'!TY29</f>
        <v>0</v>
      </c>
      <c r="LD26" s="74"/>
    </row>
    <row r="27" spans="1:316" ht="25.5" customHeight="1" thickBot="1" x14ac:dyDescent="0.3">
      <c r="A27" s="90" t="s">
        <v>335</v>
      </c>
      <c r="B27" s="71">
        <f t="shared" si="14"/>
        <v>64454085.520000003</v>
      </c>
      <c r="C27" s="72">
        <f t="shared" si="15"/>
        <v>36062067</v>
      </c>
      <c r="D27" s="72">
        <f t="shared" si="16"/>
        <v>9282930.6699999981</v>
      </c>
      <c r="E27" s="72">
        <f t="shared" si="17"/>
        <v>19109087.850000001</v>
      </c>
      <c r="F27" s="71">
        <f t="shared" si="18"/>
        <v>18889425.140000001</v>
      </c>
      <c r="G27" s="72">
        <f t="shared" si="19"/>
        <v>751303.54999999981</v>
      </c>
      <c r="H27" s="72">
        <f t="shared" si="1"/>
        <v>2538121.5900000003</v>
      </c>
      <c r="I27" s="72">
        <f t="shared" si="2"/>
        <v>15600000</v>
      </c>
      <c r="J27" s="54"/>
      <c r="K27" s="55">
        <f>M27-'Федеральные  средства  по  МО'!N28-'Федеральные  средства  по  МО'!D28</f>
        <v>0</v>
      </c>
      <c r="L27" s="55">
        <f>Q27-'Федеральные  средства  по  МО'!O28-'Федеральные  средства  по  МО'!E28</f>
        <v>0</v>
      </c>
      <c r="M27" s="1083">
        <f t="shared" si="20"/>
        <v>125805406.14</v>
      </c>
      <c r="N27" s="72">
        <f t="shared" si="21"/>
        <v>84206667</v>
      </c>
      <c r="O27" s="72">
        <f t="shared" si="22"/>
        <v>9282930.6699999981</v>
      </c>
      <c r="P27" s="72">
        <f t="shared" si="23"/>
        <v>19109087.850000001</v>
      </c>
      <c r="Q27" s="1083">
        <f t="shared" si="24"/>
        <v>22034425.140000001</v>
      </c>
      <c r="R27" s="72">
        <f t="shared" si="25"/>
        <v>3896303.55</v>
      </c>
      <c r="S27" s="72">
        <f t="shared" si="26"/>
        <v>2538121.5900000003</v>
      </c>
      <c r="T27" s="72">
        <f t="shared" si="27"/>
        <v>15600000</v>
      </c>
      <c r="U27" s="91">
        <f>'Федеральные  средства  по  МО'!F28</f>
        <v>0</v>
      </c>
      <c r="V27" s="92">
        <f>'Проверочная  таблица'!BT30</f>
        <v>0</v>
      </c>
      <c r="W27" s="93">
        <f>'Проверочная  таблица'!BX30</f>
        <v>0</v>
      </c>
      <c r="X27" s="92">
        <f>'Проверочная  таблица'!BZ30</f>
        <v>0</v>
      </c>
      <c r="Y27" s="91">
        <f>'Федеральные  средства  по  МО'!G28</f>
        <v>0</v>
      </c>
      <c r="Z27" s="92">
        <f>'Проверочная  таблица'!BU30</f>
        <v>0</v>
      </c>
      <c r="AA27" s="93">
        <f>'Проверочная  таблица'!BY30</f>
        <v>0</v>
      </c>
      <c r="AB27" s="92">
        <f>'Проверочная  таблица'!CA30</f>
        <v>0</v>
      </c>
      <c r="AC27" s="1044">
        <f>'Федеральные  средства  по  МО'!H28</f>
        <v>28613600</v>
      </c>
      <c r="AD27" s="94">
        <f t="shared" si="28"/>
        <v>28613600</v>
      </c>
      <c r="AE27" s="92"/>
      <c r="AF27" s="95"/>
      <c r="AG27" s="1044">
        <f>'Федеральные  средства  по  МО'!I28</f>
        <v>0</v>
      </c>
      <c r="AH27" s="94">
        <f t="shared" si="29"/>
        <v>0</v>
      </c>
      <c r="AI27" s="92"/>
      <c r="AJ27" s="93"/>
      <c r="AK27" s="91">
        <f>'Федеральные  средства  по  МО'!J28</f>
        <v>19531000</v>
      </c>
      <c r="AL27" s="94">
        <f t="shared" si="30"/>
        <v>19531000</v>
      </c>
      <c r="AM27" s="92"/>
      <c r="AN27" s="95"/>
      <c r="AO27" s="91">
        <f>'Федеральные  средства  по  МО'!K28</f>
        <v>3145000</v>
      </c>
      <c r="AP27" s="94">
        <f t="shared" si="31"/>
        <v>3145000</v>
      </c>
      <c r="AQ27" s="92"/>
      <c r="AR27" s="93"/>
      <c r="AS27" s="96">
        <f>'Федеральные  средства  по  МО'!P28</f>
        <v>0</v>
      </c>
      <c r="AT27" s="93">
        <f>'Проверочная  таблица'!CX30</f>
        <v>0</v>
      </c>
      <c r="AU27" s="80"/>
      <c r="AV27" s="81"/>
      <c r="AW27" s="97">
        <f>'Федеральные  средства  по  МО'!Q28</f>
        <v>0</v>
      </c>
      <c r="AX27" s="93">
        <f>'Проверочная  таблица'!DE30</f>
        <v>0</v>
      </c>
      <c r="AY27" s="82"/>
      <c r="AZ27" s="80"/>
      <c r="BA27" s="97">
        <f>'Федеральные  средства  по  МО'!R28</f>
        <v>0</v>
      </c>
      <c r="BB27" s="93">
        <f>'Проверочная  таблица'!CZ30</f>
        <v>0</v>
      </c>
      <c r="BC27" s="92"/>
      <c r="BD27" s="93">
        <f>'Проверочная  таблица'!DL30</f>
        <v>0</v>
      </c>
      <c r="BE27" s="96">
        <f>'Федеральные  средства  по  МО'!S28</f>
        <v>0</v>
      </c>
      <c r="BF27" s="93">
        <f>'Проверочная  таблица'!DG30</f>
        <v>0</v>
      </c>
      <c r="BG27" s="80"/>
      <c r="BH27" s="93">
        <f>'Проверочная  таблица'!DO30</f>
        <v>0</v>
      </c>
      <c r="BI27" s="96">
        <f>'Федеральные  средства  по  МО'!T28</f>
        <v>0</v>
      </c>
      <c r="BJ27" s="93">
        <f t="shared" si="32"/>
        <v>0</v>
      </c>
      <c r="BK27" s="92"/>
      <c r="BL27" s="93"/>
      <c r="BM27" s="98">
        <f>'Федеральные  средства  по  МО'!U28</f>
        <v>0</v>
      </c>
      <c r="BN27" s="93">
        <f t="shared" si="33"/>
        <v>0</v>
      </c>
      <c r="BO27" s="82"/>
      <c r="BP27" s="82"/>
      <c r="BQ27" s="91">
        <f>'Федеральные  средства  по  МО'!V28</f>
        <v>0</v>
      </c>
      <c r="BR27" s="82">
        <f>BQ27</f>
        <v>0</v>
      </c>
      <c r="BS27" s="99"/>
      <c r="BT27" s="100"/>
      <c r="BU27" s="91">
        <f>'Федеральные  средства  по  МО'!W28</f>
        <v>0</v>
      </c>
      <c r="BV27" s="82">
        <f>BU27</f>
        <v>0</v>
      </c>
      <c r="BW27" s="99"/>
      <c r="BX27" s="100"/>
      <c r="BY27" s="91">
        <f>'Федеральные  средства  по  МО'!X28</f>
        <v>0</v>
      </c>
      <c r="BZ27" s="82">
        <f>BY27</f>
        <v>0</v>
      </c>
      <c r="CA27" s="99"/>
      <c r="CB27" s="100"/>
      <c r="CC27" s="91">
        <f>'Федеральные  средства  по  МО'!Y28</f>
        <v>0</v>
      </c>
      <c r="CD27" s="82">
        <f>CC27</f>
        <v>0</v>
      </c>
      <c r="CE27" s="99"/>
      <c r="CF27" s="100"/>
      <c r="CG27" s="91">
        <f>'Федеральные  средства  по  МО'!Z28</f>
        <v>0</v>
      </c>
      <c r="CH27" s="82">
        <f t="shared" si="8"/>
        <v>0</v>
      </c>
      <c r="CI27" s="80"/>
      <c r="CJ27" s="81"/>
      <c r="CK27" s="91">
        <f>'Федеральные  средства  по  МО'!AA28</f>
        <v>0</v>
      </c>
      <c r="CL27" s="82">
        <f t="shared" si="9"/>
        <v>0</v>
      </c>
      <c r="CM27" s="83"/>
      <c r="CN27" s="82"/>
      <c r="CO27" s="97">
        <f>'Федеральные  средства  по  МО'!AB28</f>
        <v>0</v>
      </c>
      <c r="CP27" s="93">
        <f t="shared" si="34"/>
        <v>0</v>
      </c>
      <c r="CQ27" s="92"/>
      <c r="CR27" s="93"/>
      <c r="CS27" s="96">
        <f>'Федеральные  средства  по  МО'!AC28</f>
        <v>0</v>
      </c>
      <c r="CT27" s="93">
        <f t="shared" si="35"/>
        <v>0</v>
      </c>
      <c r="CU27" s="92"/>
      <c r="CV27" s="93"/>
      <c r="CW27" s="97">
        <f>'Федеральные  средства  по  МО'!AD28</f>
        <v>224762.96</v>
      </c>
      <c r="CX27" s="95">
        <f>'Проверочная  таблица'!FD30</f>
        <v>0</v>
      </c>
      <c r="CY27" s="93">
        <f t="shared" si="36"/>
        <v>224762.96</v>
      </c>
      <c r="CZ27" s="94"/>
      <c r="DA27" s="96">
        <f>'Федеральные  средства  по  МО'!AE28</f>
        <v>224762.97</v>
      </c>
      <c r="DB27" s="95">
        <f>'Проверочная  таблица'!FG30</f>
        <v>0</v>
      </c>
      <c r="DC27" s="93">
        <f t="shared" si="37"/>
        <v>224762.97</v>
      </c>
      <c r="DD27" s="92"/>
      <c r="DE27" s="91">
        <f>'Федеральные  средства  по  МО'!AF28</f>
        <v>0</v>
      </c>
      <c r="DF27" s="94">
        <f t="shared" si="38"/>
        <v>0</v>
      </c>
      <c r="DG27" s="92"/>
      <c r="DH27" s="95"/>
      <c r="DI27" s="91">
        <f>'Федеральные  средства  по  МО'!AG28</f>
        <v>0</v>
      </c>
      <c r="DJ27" s="94">
        <f t="shared" si="39"/>
        <v>0</v>
      </c>
      <c r="DK27" s="92"/>
      <c r="DL27" s="95"/>
      <c r="DM27" s="91">
        <f>'Федеральные  средства  по  МО'!AH28</f>
        <v>0</v>
      </c>
      <c r="DN27" s="94">
        <f t="shared" si="40"/>
        <v>0</v>
      </c>
      <c r="DO27" s="92"/>
      <c r="DP27" s="95"/>
      <c r="DQ27" s="91">
        <f>'Федеральные  средства  по  МО'!AI28</f>
        <v>0</v>
      </c>
      <c r="DR27" s="94">
        <f t="shared" si="41"/>
        <v>0</v>
      </c>
      <c r="DS27" s="92"/>
      <c r="DT27" s="93"/>
      <c r="DU27" s="97">
        <f>'Федеральные  средства  по  МО'!AJ28</f>
        <v>28177208.5</v>
      </c>
      <c r="DV27" s="93">
        <f t="shared" si="42"/>
        <v>28177208.5</v>
      </c>
      <c r="DW27" s="92"/>
      <c r="DX27" s="93"/>
      <c r="DY27" s="96">
        <f>'Федеральные  средства  по  МО'!AK28</f>
        <v>0</v>
      </c>
      <c r="DZ27" s="93">
        <f t="shared" si="43"/>
        <v>0</v>
      </c>
      <c r="EA27" s="92"/>
      <c r="EB27" s="95"/>
      <c r="EC27" s="91">
        <f>'Федеральные  средства  по  МО'!AL28</f>
        <v>0</v>
      </c>
      <c r="ED27" s="101">
        <f t="shared" si="10"/>
        <v>0</v>
      </c>
      <c r="EE27" s="102"/>
      <c r="EF27" s="101"/>
      <c r="EG27" s="91">
        <f>'Федеральные  средства  по  МО'!AM28</f>
        <v>0</v>
      </c>
      <c r="EH27" s="101">
        <f t="shared" si="11"/>
        <v>0</v>
      </c>
      <c r="EI27" s="102"/>
      <c r="EJ27" s="101"/>
      <c r="EK27" s="97">
        <f>'Федеральные  средства  по  МО'!AN28</f>
        <v>821052.83999999985</v>
      </c>
      <c r="EL27" s="93"/>
      <c r="EM27" s="92"/>
      <c r="EN27" s="93">
        <f t="shared" si="44"/>
        <v>821052.83999999985</v>
      </c>
      <c r="EO27" s="96">
        <f>'Федеральные  средства  по  МО'!AO28</f>
        <v>0</v>
      </c>
      <c r="EP27" s="93"/>
      <c r="EQ27" s="92"/>
      <c r="ER27" s="95">
        <f t="shared" si="45"/>
        <v>0</v>
      </c>
      <c r="ES27" s="1056">
        <f>'Федеральные  средства  по  МО'!AP28</f>
        <v>2500000</v>
      </c>
      <c r="ET27" s="93">
        <f>'Проверочная  таблица'!IR30</f>
        <v>0</v>
      </c>
      <c r="EU27" s="92">
        <f>'Проверочная  таблица'!JB30</f>
        <v>0</v>
      </c>
      <c r="EV27" s="93">
        <f>ES27</f>
        <v>2500000</v>
      </c>
      <c r="EW27" s="1058">
        <f>'Федеральные  средства  по  МО'!AQ28</f>
        <v>0</v>
      </c>
      <c r="EX27" s="93">
        <f>'Проверочная  таблица'!IU30</f>
        <v>0</v>
      </c>
      <c r="EY27" s="92">
        <f>'Проверочная  таблица'!JC30</f>
        <v>0</v>
      </c>
      <c r="EZ27" s="93">
        <f>'Проверочная  таблица'!JE30</f>
        <v>0</v>
      </c>
      <c r="FA27" s="98">
        <f>'Федеральные  средства  по  МО'!AR28</f>
        <v>7600000</v>
      </c>
      <c r="FB27" s="75">
        <f t="shared" si="68"/>
        <v>7600000</v>
      </c>
      <c r="FC27" s="92"/>
      <c r="FD27" s="95"/>
      <c r="FE27" s="91">
        <f>'Федеральные  средства  по  МО'!AS28</f>
        <v>563268.53</v>
      </c>
      <c r="FF27" s="75">
        <f t="shared" si="69"/>
        <v>563268.53</v>
      </c>
      <c r="FG27" s="92"/>
      <c r="FH27" s="93"/>
      <c r="FI27" s="98">
        <f>'Федеральные  средства  по  МО'!AT28</f>
        <v>0</v>
      </c>
      <c r="FJ27" s="82"/>
      <c r="FK27" s="80"/>
      <c r="FL27" s="81"/>
      <c r="FM27" s="91">
        <f>'Федеральные  средства  по  МО'!AU28</f>
        <v>0</v>
      </c>
      <c r="FN27" s="80"/>
      <c r="FO27" s="83"/>
      <c r="FP27" s="80"/>
      <c r="FQ27" s="97">
        <f>'Федеральные  средства  по  МО'!AV28</f>
        <v>0</v>
      </c>
      <c r="FR27" s="95">
        <f>'Проверочная  таблица'!JT30</f>
        <v>0</v>
      </c>
      <c r="FS27" s="93">
        <f>'Проверочная  таблица'!KF30</f>
        <v>-188035.01</v>
      </c>
      <c r="FT27" s="93">
        <f>'Проверочная  таблица'!KL30</f>
        <v>188035.01</v>
      </c>
      <c r="FU27" s="96">
        <f>'Федеральные  средства  по  МО'!AW28</f>
        <v>0</v>
      </c>
      <c r="FV27" s="93">
        <f>'Проверочная  таблица'!JW30</f>
        <v>0</v>
      </c>
      <c r="FW27" s="92">
        <f>'Проверочная  таблица'!KI30</f>
        <v>0</v>
      </c>
      <c r="FX27" s="93">
        <f>'Проверочная  таблица'!KO30</f>
        <v>0</v>
      </c>
      <c r="FY27" s="97">
        <f>'Федеральные  средства  по  МО'!AX28</f>
        <v>194713.62</v>
      </c>
      <c r="FZ27" s="93"/>
      <c r="GA27" s="92">
        <f t="shared" si="46"/>
        <v>194713.62</v>
      </c>
      <c r="GB27" s="93"/>
      <c r="GC27" s="91">
        <f>'Федеральные  средства  по  МО'!AY28</f>
        <v>0</v>
      </c>
      <c r="GD27" s="92"/>
      <c r="GE27" s="93">
        <f t="shared" si="47"/>
        <v>0</v>
      </c>
      <c r="GF27" s="92"/>
      <c r="GG27" s="103">
        <f>'Федеральные  средства  по  МО'!AZ28</f>
        <v>96823.49</v>
      </c>
      <c r="GH27" s="104">
        <f t="shared" si="48"/>
        <v>96823.49</v>
      </c>
      <c r="GI27" s="101"/>
      <c r="GJ27" s="105"/>
      <c r="GK27" s="103">
        <f>'Федеральные  средства  по  МО'!BA28</f>
        <v>0</v>
      </c>
      <c r="GL27" s="104">
        <f t="shared" si="49"/>
        <v>0</v>
      </c>
      <c r="GM27" s="101"/>
      <c r="GN27" s="102"/>
      <c r="GO27" s="98">
        <f>'Федеральные  средства  по  МО'!BB28</f>
        <v>0</v>
      </c>
      <c r="GP27" s="80"/>
      <c r="GQ27" s="95">
        <f>'Проверочная  таблица'!MO30</f>
        <v>0</v>
      </c>
      <c r="GR27" s="93">
        <f>'Проверочная  таблица'!MW30</f>
        <v>0</v>
      </c>
      <c r="GS27" s="96">
        <f>'Федеральные  средства  по  МО'!BC28</f>
        <v>0</v>
      </c>
      <c r="GT27" s="95"/>
      <c r="GU27" s="93">
        <f>'Проверочная  таблица'!MS30</f>
        <v>0</v>
      </c>
      <c r="GV27" s="94">
        <f>'Проверочная  таблица'!NA30</f>
        <v>0</v>
      </c>
      <c r="GW27" s="96">
        <f>'Федеральные  средства  по  МО'!BD28</f>
        <v>0</v>
      </c>
      <c r="GX27" s="93">
        <f t="shared" si="50"/>
        <v>0</v>
      </c>
      <c r="GY27" s="92"/>
      <c r="GZ27" s="95"/>
      <c r="HA27" s="91">
        <f>'Федеральные  средства  по  МО'!BE28</f>
        <v>0</v>
      </c>
      <c r="HB27" s="93">
        <f t="shared" si="51"/>
        <v>0</v>
      </c>
      <c r="HC27" s="94"/>
      <c r="HD27" s="80"/>
      <c r="HE27" s="91">
        <f>'Федеральные  средства  по  МО'!BF28</f>
        <v>0</v>
      </c>
      <c r="HF27" s="95">
        <f t="shared" si="52"/>
        <v>0</v>
      </c>
      <c r="HG27" s="93"/>
      <c r="HH27" s="94"/>
      <c r="HI27" s="98">
        <f>'Федеральные  средства  по  МО'!BG28</f>
        <v>0</v>
      </c>
      <c r="HJ27" s="95">
        <f t="shared" si="12"/>
        <v>0</v>
      </c>
      <c r="HK27" s="93"/>
      <c r="HL27" s="94"/>
      <c r="HM27" s="97">
        <f>'Федеральные  средства  по  МО'!BH28</f>
        <v>188035.01</v>
      </c>
      <c r="HN27" s="95">
        <f t="shared" si="53"/>
        <v>188035.01</v>
      </c>
      <c r="HO27" s="93"/>
      <c r="HP27" s="94">
        <f>'Проверочная  таблица'!OF30</f>
        <v>0</v>
      </c>
      <c r="HQ27" s="98">
        <f>'Федеральные  средства  по  МО'!BI28</f>
        <v>188035.02</v>
      </c>
      <c r="HR27" s="95">
        <f t="shared" si="54"/>
        <v>188035.02</v>
      </c>
      <c r="HS27" s="81"/>
      <c r="HT27" s="93">
        <f>'Проверочная  таблица'!OI30</f>
        <v>0</v>
      </c>
      <c r="HU27" s="98">
        <f>'Федеральные  средства  по  МО'!BJ28</f>
        <v>0</v>
      </c>
      <c r="HV27" s="82">
        <f t="shared" si="55"/>
        <v>0</v>
      </c>
      <c r="HW27" s="80"/>
      <c r="HX27" s="81"/>
      <c r="HY27" s="91">
        <f>'Федеральные  средства  по  МО'!BK28</f>
        <v>0</v>
      </c>
      <c r="HZ27" s="82">
        <f t="shared" si="13"/>
        <v>0</v>
      </c>
      <c r="IA27" s="80"/>
      <c r="IB27" s="83"/>
      <c r="IC27" s="97">
        <f>'Федеральные  средства  по  МО'!BL28</f>
        <v>28806720.619999997</v>
      </c>
      <c r="ID27" s="95"/>
      <c r="IE27" s="93"/>
      <c r="IF27" s="94">
        <f>'Проверочная  таблица'!PR30</f>
        <v>15600000</v>
      </c>
      <c r="IG27" s="96">
        <f>'Федеральные  средства  по  МО'!BM28</f>
        <v>15600000</v>
      </c>
      <c r="IH27" s="95"/>
      <c r="II27" s="93"/>
      <c r="IJ27" s="94">
        <f>'Проверочная  таблица'!PV30</f>
        <v>15600000</v>
      </c>
      <c r="IK27" s="97">
        <f>'Федеральные  средства  по  МО'!BN28</f>
        <v>0</v>
      </c>
      <c r="IL27" s="95">
        <f>'Проверочная  таблица'!PZ30</f>
        <v>0</v>
      </c>
      <c r="IM27" s="93">
        <f t="shared" si="56"/>
        <v>0</v>
      </c>
      <c r="IN27" s="94"/>
      <c r="IO27" s="96">
        <f>'Федеральные  средства  по  МО'!BO28</f>
        <v>0</v>
      </c>
      <c r="IP27" s="95">
        <f>'Проверочная  таблица'!QE30</f>
        <v>0</v>
      </c>
      <c r="IQ27" s="93">
        <f t="shared" si="57"/>
        <v>0</v>
      </c>
      <c r="IR27" s="94"/>
      <c r="IS27" s="97">
        <f>'Федеральные  средства  по  МО'!BR28</f>
        <v>0</v>
      </c>
      <c r="IT27" s="93">
        <f t="shared" si="58"/>
        <v>0</v>
      </c>
      <c r="IU27" s="92"/>
      <c r="IV27" s="93"/>
      <c r="IW27" s="98">
        <f>'Федеральные  средства  по  МО'!BS28</f>
        <v>0</v>
      </c>
      <c r="IX27" s="94">
        <f t="shared" si="59"/>
        <v>0</v>
      </c>
      <c r="IY27" s="94"/>
      <c r="IZ27" s="93"/>
      <c r="JA27" s="97">
        <f>'Федеральные  средства  по  МО'!BT28</f>
        <v>0</v>
      </c>
      <c r="JB27" s="93">
        <f>'Проверочная  таблица'!RN30</f>
        <v>0</v>
      </c>
      <c r="JC27" s="92">
        <f>'Проверочная  таблица'!RT30</f>
        <v>0</v>
      </c>
      <c r="JD27" s="93">
        <f>'Проверочная  таблица'!RZ30</f>
        <v>0</v>
      </c>
      <c r="JE27" s="96">
        <f>'Федеральные  средства  по  МО'!BU28</f>
        <v>0</v>
      </c>
      <c r="JF27" s="93">
        <f>'Проверочная  таблица'!RK30</f>
        <v>0</v>
      </c>
      <c r="JG27" s="92">
        <f>'Проверочная  таблица'!RW30</f>
        <v>0</v>
      </c>
      <c r="JH27" s="95">
        <f>'Проверочная  таблица'!SC30</f>
        <v>0</v>
      </c>
      <c r="JI27" s="91">
        <f>'Федеральные  средства  по  МО'!BV28</f>
        <v>0</v>
      </c>
      <c r="JJ27" s="93">
        <f t="shared" si="60"/>
        <v>0</v>
      </c>
      <c r="JK27" s="92"/>
      <c r="JL27" s="93"/>
      <c r="JM27" s="98">
        <f>'Федеральные  средства  по  МО'!BW28</f>
        <v>0</v>
      </c>
      <c r="JN27" s="94">
        <f t="shared" si="61"/>
        <v>0</v>
      </c>
      <c r="JO27" s="92"/>
      <c r="JP27" s="95"/>
      <c r="JQ27" s="97">
        <f>'Федеральные  средства  по  МО'!BX28</f>
        <v>0</v>
      </c>
      <c r="JR27" s="93">
        <f t="shared" si="62"/>
        <v>0</v>
      </c>
      <c r="JS27" s="92"/>
      <c r="JT27" s="93"/>
      <c r="JU27" s="98">
        <f>'Федеральные  средства  по  МО'!BY28</f>
        <v>0</v>
      </c>
      <c r="JV27" s="93">
        <f t="shared" si="63"/>
        <v>0</v>
      </c>
      <c r="JW27" s="92"/>
      <c r="JX27" s="93"/>
      <c r="JY27" s="97">
        <f>'Федеральные  средства  по  МО'!BZ28</f>
        <v>0</v>
      </c>
      <c r="JZ27" s="93">
        <f t="shared" si="64"/>
        <v>0</v>
      </c>
      <c r="KA27" s="92"/>
      <c r="KB27" s="93"/>
      <c r="KC27" s="96">
        <f>'Федеральные  средства  по  МО'!CA28</f>
        <v>0</v>
      </c>
      <c r="KD27" s="93">
        <f t="shared" si="65"/>
        <v>0</v>
      </c>
      <c r="KE27" s="92"/>
      <c r="KF27" s="93"/>
      <c r="KG27" s="96">
        <f>'Федеральные  средства  по  МО'!CB28</f>
        <v>9051489.0999999996</v>
      </c>
      <c r="KH27" s="95">
        <f>'Проверочная  таблица'!SZ30</f>
        <v>0</v>
      </c>
      <c r="KI27" s="93">
        <f>'Проверочная  таблица'!UB30</f>
        <v>9051489.0999999996</v>
      </c>
      <c r="KJ27" s="92">
        <f>'Проверочная  таблица'!UP30</f>
        <v>0</v>
      </c>
      <c r="KK27" s="1044">
        <f>'Федеральные  средства  по  МО'!CC28</f>
        <v>2313358.62</v>
      </c>
      <c r="KL27" s="92">
        <f>'Проверочная  таблица'!TG30</f>
        <v>0</v>
      </c>
      <c r="KM27" s="93">
        <f>'Проверочная  таблица'!UI30</f>
        <v>2313358.62</v>
      </c>
      <c r="KN27" s="94">
        <f>'Проверочная  таблица'!UW30</f>
        <v>0</v>
      </c>
      <c r="KO27" s="96">
        <f>'Федеральные  средства  по  МО'!CD28</f>
        <v>0</v>
      </c>
      <c r="KP27" s="93">
        <f>'Проверочная  таблица'!TB30</f>
        <v>0</v>
      </c>
      <c r="KQ27" s="92">
        <f t="shared" si="66"/>
        <v>0</v>
      </c>
      <c r="KR27" s="93"/>
      <c r="KS27" s="96">
        <f>'Федеральные  средства  по  МО'!CE28</f>
        <v>0</v>
      </c>
      <c r="KT27" s="93">
        <f>'Проверочная  таблица'!TI30</f>
        <v>0</v>
      </c>
      <c r="KU27" s="92">
        <f t="shared" si="67"/>
        <v>0</v>
      </c>
      <c r="KV27" s="95"/>
      <c r="KW27" s="97">
        <f>'Федеральные  средства  по  МО'!CF28</f>
        <v>0</v>
      </c>
      <c r="KX27" s="95">
        <f>'Проверочная  таблица'!TD30</f>
        <v>0</v>
      </c>
      <c r="KY27" s="93">
        <f>'Проверочная  таблица'!UF30</f>
        <v>0</v>
      </c>
      <c r="KZ27" s="94"/>
      <c r="LA27" s="96">
        <f>'Федеральные  средства  по  МО'!CG28</f>
        <v>0</v>
      </c>
      <c r="LB27" s="95">
        <f>'Проверочная  таблица'!TK30</f>
        <v>0</v>
      </c>
      <c r="LC27" s="93">
        <f>'Проверочная  таблица'!TY30</f>
        <v>0</v>
      </c>
      <c r="LD27" s="93"/>
    </row>
    <row r="28" spans="1:316" ht="25.5" customHeight="1" thickBot="1" x14ac:dyDescent="0.3">
      <c r="A28" s="106" t="s">
        <v>336</v>
      </c>
      <c r="B28" s="107">
        <f t="shared" ref="B28" si="70">SUM(B10:B27)</f>
        <v>2909148436.7499995</v>
      </c>
      <c r="C28" s="108">
        <f t="shared" ref="C28:F28" si="71">SUM(C10:C27)</f>
        <v>2310227832.3399997</v>
      </c>
      <c r="D28" s="108">
        <f t="shared" si="71"/>
        <v>122583959.63</v>
      </c>
      <c r="E28" s="108">
        <f t="shared" si="71"/>
        <v>476336644.77999997</v>
      </c>
      <c r="F28" s="107">
        <f t="shared" si="71"/>
        <v>1001382903.2600001</v>
      </c>
      <c r="G28" s="108">
        <f t="shared" ref="G28:I28" si="72">SUM(G10:G27)</f>
        <v>749711351.87999988</v>
      </c>
      <c r="H28" s="108">
        <f t="shared" si="72"/>
        <v>36804858.410000004</v>
      </c>
      <c r="I28" s="108">
        <f t="shared" si="72"/>
        <v>214866692.96999997</v>
      </c>
      <c r="J28" s="54"/>
      <c r="K28" s="55">
        <f>M28-'Федеральные  средства  по  МО'!N29-'Федеральные  средства  по  МО'!D29</f>
        <v>0</v>
      </c>
      <c r="L28" s="55">
        <f>Q28-'Федеральные  средства  по  МО'!O29-'Федеральные  средства  по  МО'!E29</f>
        <v>0</v>
      </c>
      <c r="M28" s="107">
        <f t="shared" ref="M28" si="73">SUM(M10:M27)</f>
        <v>4235060580.6399999</v>
      </c>
      <c r="N28" s="108">
        <f t="shared" ref="N28:BP28" si="74">SUM(N10:N27)</f>
        <v>3491579562.1200004</v>
      </c>
      <c r="O28" s="108">
        <f t="shared" si="74"/>
        <v>122583959.63</v>
      </c>
      <c r="P28" s="108">
        <f t="shared" si="74"/>
        <v>476336644.77999997</v>
      </c>
      <c r="Q28" s="107">
        <f t="shared" si="74"/>
        <v>1004981903.2600001</v>
      </c>
      <c r="R28" s="108">
        <f t="shared" si="74"/>
        <v>753310351.87999988</v>
      </c>
      <c r="S28" s="108">
        <f t="shared" si="74"/>
        <v>36804858.410000004</v>
      </c>
      <c r="T28" s="108">
        <f t="shared" si="74"/>
        <v>214866692.96999997</v>
      </c>
      <c r="U28" s="109">
        <f t="shared" si="74"/>
        <v>0</v>
      </c>
      <c r="V28" s="110">
        <f t="shared" si="74"/>
        <v>0</v>
      </c>
      <c r="W28" s="111">
        <f t="shared" si="74"/>
        <v>0</v>
      </c>
      <c r="X28" s="112">
        <f t="shared" si="74"/>
        <v>0</v>
      </c>
      <c r="Y28" s="113">
        <f t="shared" si="74"/>
        <v>0</v>
      </c>
      <c r="Z28" s="110">
        <f t="shared" si="74"/>
        <v>0</v>
      </c>
      <c r="AA28" s="111">
        <f t="shared" si="74"/>
        <v>0</v>
      </c>
      <c r="AB28" s="112">
        <f t="shared" si="74"/>
        <v>0</v>
      </c>
      <c r="AC28" s="1067">
        <f t="shared" ref="AC28:AJ28" si="75">SUM(AC10:AC27)</f>
        <v>865675729.78000021</v>
      </c>
      <c r="AD28" s="111">
        <f t="shared" si="75"/>
        <v>865675729.78000021</v>
      </c>
      <c r="AE28" s="114">
        <f t="shared" si="75"/>
        <v>0</v>
      </c>
      <c r="AF28" s="111">
        <f t="shared" si="75"/>
        <v>0</v>
      </c>
      <c r="AG28" s="1071">
        <f t="shared" si="75"/>
        <v>0</v>
      </c>
      <c r="AH28" s="111">
        <f t="shared" si="75"/>
        <v>0</v>
      </c>
      <c r="AI28" s="114">
        <f t="shared" si="75"/>
        <v>0</v>
      </c>
      <c r="AJ28" s="111">
        <f t="shared" si="75"/>
        <v>0</v>
      </c>
      <c r="AK28" s="109">
        <f t="shared" si="74"/>
        <v>315676000</v>
      </c>
      <c r="AL28" s="111">
        <f t="shared" si="74"/>
        <v>315676000</v>
      </c>
      <c r="AM28" s="114">
        <f t="shared" si="74"/>
        <v>0</v>
      </c>
      <c r="AN28" s="111">
        <f t="shared" si="74"/>
        <v>0</v>
      </c>
      <c r="AO28" s="113">
        <f t="shared" si="74"/>
        <v>3599000</v>
      </c>
      <c r="AP28" s="111">
        <f t="shared" si="74"/>
        <v>3599000</v>
      </c>
      <c r="AQ28" s="114">
        <f t="shared" si="74"/>
        <v>0</v>
      </c>
      <c r="AR28" s="111">
        <f t="shared" si="74"/>
        <v>0</v>
      </c>
      <c r="AS28" s="113">
        <f t="shared" si="74"/>
        <v>243864.57</v>
      </c>
      <c r="AT28" s="111">
        <f t="shared" si="74"/>
        <v>243864.57</v>
      </c>
      <c r="AU28" s="115">
        <f t="shared" si="74"/>
        <v>0</v>
      </c>
      <c r="AV28" s="108">
        <f t="shared" si="74"/>
        <v>0</v>
      </c>
      <c r="AW28" s="113">
        <f t="shared" si="74"/>
        <v>0</v>
      </c>
      <c r="AX28" s="110">
        <f t="shared" si="74"/>
        <v>0</v>
      </c>
      <c r="AY28" s="108">
        <f t="shared" si="74"/>
        <v>0</v>
      </c>
      <c r="AZ28" s="115">
        <f t="shared" si="74"/>
        <v>0</v>
      </c>
      <c r="BA28" s="109">
        <f t="shared" si="74"/>
        <v>291338100</v>
      </c>
      <c r="BB28" s="111">
        <f t="shared" si="74"/>
        <v>275500000</v>
      </c>
      <c r="BC28" s="111">
        <f t="shared" si="74"/>
        <v>0</v>
      </c>
      <c r="BD28" s="114">
        <f t="shared" si="74"/>
        <v>15838100</v>
      </c>
      <c r="BE28" s="116">
        <f t="shared" si="74"/>
        <v>82871028.709999993</v>
      </c>
      <c r="BF28" s="114">
        <f t="shared" si="74"/>
        <v>82871028.709999993</v>
      </c>
      <c r="BG28" s="108">
        <f t="shared" si="74"/>
        <v>0</v>
      </c>
      <c r="BH28" s="112">
        <f t="shared" si="74"/>
        <v>0</v>
      </c>
      <c r="BI28" s="109">
        <f t="shared" si="74"/>
        <v>0</v>
      </c>
      <c r="BJ28" s="111">
        <f t="shared" si="74"/>
        <v>0</v>
      </c>
      <c r="BK28" s="114">
        <f t="shared" si="74"/>
        <v>0</v>
      </c>
      <c r="BL28" s="111">
        <f t="shared" si="74"/>
        <v>0</v>
      </c>
      <c r="BM28" s="117">
        <f t="shared" si="74"/>
        <v>0</v>
      </c>
      <c r="BN28" s="111">
        <f t="shared" si="74"/>
        <v>0</v>
      </c>
      <c r="BO28" s="108">
        <f t="shared" si="74"/>
        <v>0</v>
      </c>
      <c r="BP28" s="118">
        <f t="shared" si="74"/>
        <v>0</v>
      </c>
      <c r="BQ28" s="116">
        <f>SUM(BQ10:BQ27)</f>
        <v>5982800</v>
      </c>
      <c r="BR28" s="108">
        <f t="shared" ref="BR28:BT28" si="76">SUM(BR10:BR27)</f>
        <v>5982800</v>
      </c>
      <c r="BS28" s="111">
        <f t="shared" si="76"/>
        <v>0</v>
      </c>
      <c r="BT28" s="114">
        <f t="shared" si="76"/>
        <v>0</v>
      </c>
      <c r="BU28" s="116">
        <f>SUM(BU10:BU27)</f>
        <v>0</v>
      </c>
      <c r="BV28" s="108">
        <f t="shared" ref="BV28:CV28" si="77">SUM(BV10:BV27)</f>
        <v>0</v>
      </c>
      <c r="BW28" s="111">
        <f t="shared" si="77"/>
        <v>0</v>
      </c>
      <c r="BX28" s="114">
        <f t="shared" si="77"/>
        <v>0</v>
      </c>
      <c r="BY28" s="116">
        <f t="shared" si="77"/>
        <v>0</v>
      </c>
      <c r="BZ28" s="108">
        <f t="shared" si="77"/>
        <v>0</v>
      </c>
      <c r="CA28" s="111">
        <f t="shared" si="77"/>
        <v>0</v>
      </c>
      <c r="CB28" s="114">
        <f t="shared" si="77"/>
        <v>0</v>
      </c>
      <c r="CC28" s="116">
        <f t="shared" si="77"/>
        <v>0</v>
      </c>
      <c r="CD28" s="108">
        <f t="shared" si="77"/>
        <v>0</v>
      </c>
      <c r="CE28" s="111">
        <f t="shared" si="77"/>
        <v>0</v>
      </c>
      <c r="CF28" s="114">
        <f t="shared" si="77"/>
        <v>0</v>
      </c>
      <c r="CG28" s="109">
        <f t="shared" si="77"/>
        <v>0</v>
      </c>
      <c r="CH28" s="108">
        <f t="shared" si="77"/>
        <v>0</v>
      </c>
      <c r="CI28" s="115">
        <f t="shared" si="77"/>
        <v>0</v>
      </c>
      <c r="CJ28" s="108">
        <f t="shared" si="77"/>
        <v>0</v>
      </c>
      <c r="CK28" s="117">
        <f t="shared" si="77"/>
        <v>0</v>
      </c>
      <c r="CL28" s="119">
        <f t="shared" si="77"/>
        <v>0</v>
      </c>
      <c r="CM28" s="108">
        <f t="shared" si="77"/>
        <v>0</v>
      </c>
      <c r="CN28" s="118">
        <f t="shared" si="77"/>
        <v>0</v>
      </c>
      <c r="CO28" s="109">
        <f t="shared" si="77"/>
        <v>82494836.710000008</v>
      </c>
      <c r="CP28" s="111">
        <f t="shared" si="77"/>
        <v>82494836.710000008</v>
      </c>
      <c r="CQ28" s="114">
        <f t="shared" si="77"/>
        <v>0</v>
      </c>
      <c r="CR28" s="111">
        <f t="shared" si="77"/>
        <v>0</v>
      </c>
      <c r="CS28" s="113">
        <f t="shared" si="77"/>
        <v>0</v>
      </c>
      <c r="CT28" s="111">
        <f t="shared" si="77"/>
        <v>0</v>
      </c>
      <c r="CU28" s="114">
        <f t="shared" si="77"/>
        <v>0</v>
      </c>
      <c r="CV28" s="111">
        <f t="shared" si="77"/>
        <v>0</v>
      </c>
      <c r="CW28" s="109">
        <f>SUM(CW10:CW27)</f>
        <v>4365720.21</v>
      </c>
      <c r="CX28" s="110">
        <f t="shared" ref="CX28:CZ28" si="78">SUM(CX10:CX27)</f>
        <v>1497946.03</v>
      </c>
      <c r="CY28" s="111">
        <f t="shared" si="78"/>
        <v>2867774.1799999997</v>
      </c>
      <c r="CZ28" s="112">
        <f t="shared" si="78"/>
        <v>0</v>
      </c>
      <c r="DA28" s="116">
        <f>SUM(DA10:DA27)</f>
        <v>622691.93000000005</v>
      </c>
      <c r="DB28" s="110">
        <f t="shared" ref="DB28:FM28" si="79">SUM(DB10:DB27)</f>
        <v>0</v>
      </c>
      <c r="DC28" s="111">
        <f t="shared" si="79"/>
        <v>622691.93000000005</v>
      </c>
      <c r="DD28" s="114">
        <f t="shared" si="79"/>
        <v>0</v>
      </c>
      <c r="DE28" s="109">
        <f t="shared" si="79"/>
        <v>0</v>
      </c>
      <c r="DF28" s="111">
        <f t="shared" si="79"/>
        <v>0</v>
      </c>
      <c r="DG28" s="114">
        <f t="shared" si="79"/>
        <v>0</v>
      </c>
      <c r="DH28" s="111">
        <f t="shared" si="79"/>
        <v>0</v>
      </c>
      <c r="DI28" s="113">
        <f t="shared" si="79"/>
        <v>0</v>
      </c>
      <c r="DJ28" s="111">
        <f t="shared" si="79"/>
        <v>0</v>
      </c>
      <c r="DK28" s="114">
        <f t="shared" si="79"/>
        <v>0</v>
      </c>
      <c r="DL28" s="111">
        <f t="shared" si="79"/>
        <v>0</v>
      </c>
      <c r="DM28" s="109">
        <f t="shared" si="79"/>
        <v>234131380.22999999</v>
      </c>
      <c r="DN28" s="111">
        <f t="shared" si="79"/>
        <v>234131380.22999999</v>
      </c>
      <c r="DO28" s="114">
        <f t="shared" si="79"/>
        <v>0</v>
      </c>
      <c r="DP28" s="111">
        <f t="shared" si="79"/>
        <v>0</v>
      </c>
      <c r="DQ28" s="113">
        <f t="shared" si="79"/>
        <v>50526359.969999999</v>
      </c>
      <c r="DR28" s="111">
        <f t="shared" si="79"/>
        <v>50526359.969999999</v>
      </c>
      <c r="DS28" s="114">
        <f t="shared" si="79"/>
        <v>0</v>
      </c>
      <c r="DT28" s="111">
        <f t="shared" si="79"/>
        <v>0</v>
      </c>
      <c r="DU28" s="109">
        <f t="shared" si="79"/>
        <v>75265211.599999994</v>
      </c>
      <c r="DV28" s="111">
        <f t="shared" si="79"/>
        <v>75265211.599999994</v>
      </c>
      <c r="DW28" s="114">
        <f t="shared" si="79"/>
        <v>0</v>
      </c>
      <c r="DX28" s="111">
        <f t="shared" si="79"/>
        <v>0</v>
      </c>
      <c r="DY28" s="113">
        <f t="shared" si="79"/>
        <v>0</v>
      </c>
      <c r="DZ28" s="111">
        <f t="shared" si="79"/>
        <v>0</v>
      </c>
      <c r="EA28" s="114">
        <f t="shared" si="79"/>
        <v>0</v>
      </c>
      <c r="EB28" s="111">
        <f t="shared" si="79"/>
        <v>0</v>
      </c>
      <c r="EC28" s="109">
        <f t="shared" si="79"/>
        <v>0</v>
      </c>
      <c r="ED28" s="108">
        <f t="shared" si="79"/>
        <v>0</v>
      </c>
      <c r="EE28" s="108">
        <f t="shared" si="79"/>
        <v>0</v>
      </c>
      <c r="EF28" s="118">
        <f t="shared" si="79"/>
        <v>0</v>
      </c>
      <c r="EG28" s="113">
        <f t="shared" si="79"/>
        <v>0</v>
      </c>
      <c r="EH28" s="108">
        <f t="shared" si="79"/>
        <v>0</v>
      </c>
      <c r="EI28" s="108">
        <f t="shared" si="79"/>
        <v>0</v>
      </c>
      <c r="EJ28" s="118">
        <f t="shared" si="79"/>
        <v>0</v>
      </c>
      <c r="EK28" s="109">
        <f t="shared" si="79"/>
        <v>167793311.36000001</v>
      </c>
      <c r="EL28" s="111">
        <f t="shared" si="79"/>
        <v>0</v>
      </c>
      <c r="EM28" s="114">
        <f t="shared" si="79"/>
        <v>0</v>
      </c>
      <c r="EN28" s="111">
        <f t="shared" si="79"/>
        <v>167793311.36000001</v>
      </c>
      <c r="EO28" s="113">
        <f t="shared" si="79"/>
        <v>144222088.74000001</v>
      </c>
      <c r="EP28" s="111">
        <f t="shared" si="79"/>
        <v>0</v>
      </c>
      <c r="EQ28" s="114">
        <f t="shared" si="79"/>
        <v>0</v>
      </c>
      <c r="ER28" s="111">
        <f t="shared" si="79"/>
        <v>144222088.74000001</v>
      </c>
      <c r="ES28" s="109">
        <f t="shared" si="79"/>
        <v>2500000</v>
      </c>
      <c r="ET28" s="111">
        <f t="shared" si="79"/>
        <v>0</v>
      </c>
      <c r="EU28" s="114">
        <f t="shared" si="79"/>
        <v>0</v>
      </c>
      <c r="EV28" s="111">
        <f t="shared" si="79"/>
        <v>2500000</v>
      </c>
      <c r="EW28" s="113">
        <f t="shared" si="79"/>
        <v>0</v>
      </c>
      <c r="EX28" s="111">
        <f t="shared" si="79"/>
        <v>0</v>
      </c>
      <c r="EY28" s="114">
        <f t="shared" si="79"/>
        <v>0</v>
      </c>
      <c r="EZ28" s="111">
        <f t="shared" si="79"/>
        <v>0</v>
      </c>
      <c r="FA28" s="113">
        <f t="shared" si="79"/>
        <v>21850000</v>
      </c>
      <c r="FB28" s="111">
        <f t="shared" si="79"/>
        <v>21850000</v>
      </c>
      <c r="FC28" s="114">
        <f t="shared" si="79"/>
        <v>0</v>
      </c>
      <c r="FD28" s="111">
        <f t="shared" si="79"/>
        <v>0</v>
      </c>
      <c r="FE28" s="117">
        <f t="shared" si="79"/>
        <v>563268.53</v>
      </c>
      <c r="FF28" s="111">
        <f t="shared" si="79"/>
        <v>563268.53</v>
      </c>
      <c r="FG28" s="114">
        <f t="shared" si="79"/>
        <v>0</v>
      </c>
      <c r="FH28" s="111">
        <f t="shared" si="79"/>
        <v>0</v>
      </c>
      <c r="FI28" s="109">
        <f t="shared" si="79"/>
        <v>0</v>
      </c>
      <c r="FJ28" s="108">
        <f t="shared" si="79"/>
        <v>0</v>
      </c>
      <c r="FK28" s="115">
        <f t="shared" si="79"/>
        <v>0</v>
      </c>
      <c r="FL28" s="108">
        <f t="shared" si="79"/>
        <v>0</v>
      </c>
      <c r="FM28" s="117">
        <f t="shared" si="79"/>
        <v>0</v>
      </c>
      <c r="FN28" s="119">
        <f t="shared" ref="FN28:IL28" si="80">SUM(FN10:FN27)</f>
        <v>0</v>
      </c>
      <c r="FO28" s="108">
        <f t="shared" si="80"/>
        <v>0</v>
      </c>
      <c r="FP28" s="108">
        <f t="shared" si="80"/>
        <v>0</v>
      </c>
      <c r="FQ28" s="113">
        <f t="shared" si="80"/>
        <v>36716.63999999997</v>
      </c>
      <c r="FR28" s="110">
        <f t="shared" si="80"/>
        <v>18358.319999999985</v>
      </c>
      <c r="FS28" s="111">
        <f t="shared" si="80"/>
        <v>-2391110.16</v>
      </c>
      <c r="FT28" s="111">
        <f t="shared" si="80"/>
        <v>2409468.4799999995</v>
      </c>
      <c r="FU28" s="113">
        <f t="shared" si="80"/>
        <v>0</v>
      </c>
      <c r="FV28" s="111">
        <f t="shared" si="80"/>
        <v>0</v>
      </c>
      <c r="FW28" s="114">
        <f t="shared" si="80"/>
        <v>0</v>
      </c>
      <c r="FX28" s="111">
        <f t="shared" si="80"/>
        <v>0</v>
      </c>
      <c r="FY28" s="109">
        <f t="shared" si="80"/>
        <v>6341171.7000000002</v>
      </c>
      <c r="FZ28" s="111">
        <f t="shared" si="80"/>
        <v>0</v>
      </c>
      <c r="GA28" s="114">
        <f t="shared" si="80"/>
        <v>6341171.7000000002</v>
      </c>
      <c r="GB28" s="111">
        <f t="shared" si="80"/>
        <v>0</v>
      </c>
      <c r="GC28" s="116">
        <f t="shared" si="80"/>
        <v>0</v>
      </c>
      <c r="GD28" s="114">
        <f t="shared" si="80"/>
        <v>0</v>
      </c>
      <c r="GE28" s="111">
        <f t="shared" si="80"/>
        <v>0</v>
      </c>
      <c r="GF28" s="114">
        <f t="shared" si="80"/>
        <v>0</v>
      </c>
      <c r="GG28" s="107">
        <f t="shared" si="80"/>
        <v>4382056.9399999995</v>
      </c>
      <c r="GH28" s="118">
        <f t="shared" si="80"/>
        <v>4382056.9399999995</v>
      </c>
      <c r="GI28" s="115">
        <f t="shared" si="80"/>
        <v>0</v>
      </c>
      <c r="GJ28" s="108">
        <f t="shared" si="80"/>
        <v>0</v>
      </c>
      <c r="GK28" s="107">
        <f t="shared" si="80"/>
        <v>0</v>
      </c>
      <c r="GL28" s="108">
        <f t="shared" si="80"/>
        <v>0</v>
      </c>
      <c r="GM28" s="115">
        <f t="shared" si="80"/>
        <v>0</v>
      </c>
      <c r="GN28" s="108">
        <f t="shared" si="80"/>
        <v>0</v>
      </c>
      <c r="GO28" s="109">
        <f t="shared" si="80"/>
        <v>29785800</v>
      </c>
      <c r="GP28" s="119">
        <f t="shared" si="80"/>
        <v>5900400</v>
      </c>
      <c r="GQ28" s="110">
        <f t="shared" si="80"/>
        <v>23885400</v>
      </c>
      <c r="GR28" s="111">
        <f t="shared" si="80"/>
        <v>0</v>
      </c>
      <c r="GS28" s="117">
        <f t="shared" si="80"/>
        <v>15621406.539999999</v>
      </c>
      <c r="GT28" s="110">
        <f t="shared" si="80"/>
        <v>0</v>
      </c>
      <c r="GU28" s="111">
        <f t="shared" si="80"/>
        <v>15621406.539999999</v>
      </c>
      <c r="GV28" s="114">
        <f t="shared" si="80"/>
        <v>0</v>
      </c>
      <c r="GW28" s="109">
        <f>SUM(GW10:GW27)</f>
        <v>4757600</v>
      </c>
      <c r="GX28" s="110">
        <f t="shared" ref="GX28:GZ28" si="81">SUM(GX10:GX27)</f>
        <v>4757600</v>
      </c>
      <c r="GY28" s="110">
        <f t="shared" si="81"/>
        <v>0</v>
      </c>
      <c r="GZ28" s="111">
        <f t="shared" si="81"/>
        <v>0</v>
      </c>
      <c r="HA28" s="113">
        <f>SUM(HA10:HA27)</f>
        <v>484797.61</v>
      </c>
      <c r="HB28" s="111">
        <f t="shared" ref="HB28" si="82">SUM(HB10:HB27)</f>
        <v>484797.61</v>
      </c>
      <c r="HC28" s="112">
        <f>SUM(HC10:HC27)</f>
        <v>0</v>
      </c>
      <c r="HD28" s="115">
        <f>SUM(HD10:HD27)</f>
        <v>0</v>
      </c>
      <c r="HE28" s="116">
        <f t="shared" ref="HE28:HT28" si="83">SUM(HE10:HE27)</f>
        <v>0</v>
      </c>
      <c r="HF28" s="110">
        <f t="shared" si="83"/>
        <v>0</v>
      </c>
      <c r="HG28" s="111">
        <f t="shared" si="83"/>
        <v>0</v>
      </c>
      <c r="HH28" s="112">
        <f t="shared" si="83"/>
        <v>0</v>
      </c>
      <c r="HI28" s="117">
        <f t="shared" si="83"/>
        <v>0</v>
      </c>
      <c r="HJ28" s="119">
        <f t="shared" si="83"/>
        <v>0</v>
      </c>
      <c r="HK28" s="108">
        <f t="shared" si="83"/>
        <v>0</v>
      </c>
      <c r="HL28" s="115">
        <f t="shared" si="83"/>
        <v>0</v>
      </c>
      <c r="HM28" s="116">
        <f t="shared" si="83"/>
        <v>166970819.07999995</v>
      </c>
      <c r="HN28" s="110">
        <f t="shared" si="83"/>
        <v>2409468.4799999977</v>
      </c>
      <c r="HO28" s="111">
        <f t="shared" si="83"/>
        <v>0</v>
      </c>
      <c r="HP28" s="112">
        <f t="shared" si="83"/>
        <v>164561350.59999999</v>
      </c>
      <c r="HQ28" s="117">
        <f t="shared" si="83"/>
        <v>1991512.16</v>
      </c>
      <c r="HR28" s="119">
        <f t="shared" si="83"/>
        <v>1958009.0999999999</v>
      </c>
      <c r="HS28" s="108">
        <f t="shared" si="83"/>
        <v>0</v>
      </c>
      <c r="HT28" s="111">
        <f t="shared" si="83"/>
        <v>33503.06</v>
      </c>
      <c r="HU28" s="109">
        <f t="shared" si="80"/>
        <v>0</v>
      </c>
      <c r="HV28" s="108">
        <f t="shared" si="80"/>
        <v>0</v>
      </c>
      <c r="HW28" s="115">
        <f t="shared" si="80"/>
        <v>0</v>
      </c>
      <c r="HX28" s="108">
        <f t="shared" si="80"/>
        <v>0</v>
      </c>
      <c r="HY28" s="113">
        <f t="shared" si="80"/>
        <v>0</v>
      </c>
      <c r="HZ28" s="108">
        <f t="shared" si="80"/>
        <v>0</v>
      </c>
      <c r="IA28" s="115">
        <f t="shared" si="80"/>
        <v>0</v>
      </c>
      <c r="IB28" s="108">
        <f t="shared" si="80"/>
        <v>0</v>
      </c>
      <c r="IC28" s="109">
        <f t="shared" si="80"/>
        <v>248560414.10999998</v>
      </c>
      <c r="ID28" s="110">
        <f t="shared" si="80"/>
        <v>0</v>
      </c>
      <c r="IE28" s="111">
        <f t="shared" si="80"/>
        <v>0</v>
      </c>
      <c r="IF28" s="112">
        <f t="shared" si="80"/>
        <v>104000000</v>
      </c>
      <c r="IG28" s="117">
        <f t="shared" si="80"/>
        <v>69674867.719999999</v>
      </c>
      <c r="IH28" s="110">
        <f t="shared" si="80"/>
        <v>0</v>
      </c>
      <c r="II28" s="111">
        <f t="shared" si="80"/>
        <v>0</v>
      </c>
      <c r="IJ28" s="114">
        <f t="shared" si="80"/>
        <v>69674867.719999999</v>
      </c>
      <c r="IK28" s="109">
        <f t="shared" si="80"/>
        <v>8932514.2699999996</v>
      </c>
      <c r="IL28" s="110">
        <f t="shared" si="80"/>
        <v>2889951.19</v>
      </c>
      <c r="IM28" s="111">
        <f t="shared" ref="IM28:KX28" si="84">SUM(IM10:IM27)</f>
        <v>6042563.0800000001</v>
      </c>
      <c r="IN28" s="112">
        <f t="shared" si="84"/>
        <v>0</v>
      </c>
      <c r="IO28" s="117">
        <f t="shared" si="84"/>
        <v>1185621.1599999999</v>
      </c>
      <c r="IP28" s="110">
        <f t="shared" si="84"/>
        <v>0</v>
      </c>
      <c r="IQ28" s="111">
        <f t="shared" si="84"/>
        <v>1185621.1599999999</v>
      </c>
      <c r="IR28" s="112">
        <f t="shared" si="84"/>
        <v>0</v>
      </c>
      <c r="IS28" s="109">
        <f t="shared" si="84"/>
        <v>0</v>
      </c>
      <c r="IT28" s="111">
        <f t="shared" si="84"/>
        <v>0</v>
      </c>
      <c r="IU28" s="114">
        <f t="shared" si="84"/>
        <v>0</v>
      </c>
      <c r="IV28" s="111">
        <f t="shared" si="84"/>
        <v>0</v>
      </c>
      <c r="IW28" s="113">
        <f t="shared" si="84"/>
        <v>0</v>
      </c>
      <c r="IX28" s="111">
        <f t="shared" si="84"/>
        <v>0</v>
      </c>
      <c r="IY28" s="111">
        <f t="shared" si="84"/>
        <v>0</v>
      </c>
      <c r="IZ28" s="111">
        <f t="shared" si="84"/>
        <v>0</v>
      </c>
      <c r="JA28" s="109">
        <f t="shared" si="84"/>
        <v>0</v>
      </c>
      <c r="JB28" s="111">
        <f t="shared" si="84"/>
        <v>0</v>
      </c>
      <c r="JC28" s="114">
        <f t="shared" si="84"/>
        <v>0</v>
      </c>
      <c r="JD28" s="111">
        <f t="shared" si="84"/>
        <v>0</v>
      </c>
      <c r="JE28" s="113">
        <f t="shared" si="84"/>
        <v>0</v>
      </c>
      <c r="JF28" s="111">
        <f t="shared" si="84"/>
        <v>0</v>
      </c>
      <c r="JG28" s="114">
        <f t="shared" si="84"/>
        <v>0</v>
      </c>
      <c r="JH28" s="110">
        <f t="shared" si="84"/>
        <v>0</v>
      </c>
      <c r="JI28" s="116">
        <f t="shared" si="84"/>
        <v>0</v>
      </c>
      <c r="JJ28" s="111">
        <f t="shared" si="84"/>
        <v>0</v>
      </c>
      <c r="JK28" s="114">
        <f t="shared" si="84"/>
        <v>0</v>
      </c>
      <c r="JL28" s="111">
        <f t="shared" si="84"/>
        <v>0</v>
      </c>
      <c r="JM28" s="113">
        <f t="shared" si="84"/>
        <v>0</v>
      </c>
      <c r="JN28" s="111">
        <f t="shared" si="84"/>
        <v>0</v>
      </c>
      <c r="JO28" s="114">
        <f t="shared" si="84"/>
        <v>0</v>
      </c>
      <c r="JP28" s="111">
        <f t="shared" si="84"/>
        <v>0</v>
      </c>
      <c r="JQ28" s="109">
        <f t="shared" si="84"/>
        <v>75218600</v>
      </c>
      <c r="JR28" s="111">
        <f t="shared" si="84"/>
        <v>75218600</v>
      </c>
      <c r="JS28" s="114">
        <f t="shared" si="84"/>
        <v>0</v>
      </c>
      <c r="JT28" s="111">
        <f t="shared" si="84"/>
        <v>0</v>
      </c>
      <c r="JU28" s="113">
        <f t="shared" si="84"/>
        <v>953114.46</v>
      </c>
      <c r="JV28" s="111">
        <f t="shared" si="84"/>
        <v>953114.46</v>
      </c>
      <c r="JW28" s="114">
        <f t="shared" si="84"/>
        <v>0</v>
      </c>
      <c r="JX28" s="111">
        <f t="shared" si="84"/>
        <v>0</v>
      </c>
      <c r="JY28" s="109">
        <f t="shared" si="84"/>
        <v>0</v>
      </c>
      <c r="JZ28" s="111">
        <f t="shared" si="84"/>
        <v>0</v>
      </c>
      <c r="KA28" s="114">
        <f t="shared" si="84"/>
        <v>0</v>
      </c>
      <c r="KB28" s="111">
        <f t="shared" si="84"/>
        <v>0</v>
      </c>
      <c r="KC28" s="113">
        <f t="shared" si="84"/>
        <v>0</v>
      </c>
      <c r="KD28" s="111">
        <f t="shared" si="84"/>
        <v>0</v>
      </c>
      <c r="KE28" s="114">
        <f t="shared" si="84"/>
        <v>0</v>
      </c>
      <c r="KF28" s="111">
        <f t="shared" si="84"/>
        <v>0</v>
      </c>
      <c r="KG28" s="113">
        <f t="shared" si="84"/>
        <v>219498600</v>
      </c>
      <c r="KH28" s="110">
        <f t="shared" si="84"/>
        <v>117669358.27000001</v>
      </c>
      <c r="KI28" s="111">
        <f t="shared" si="84"/>
        <v>82594827.389999986</v>
      </c>
      <c r="KJ28" s="114">
        <f t="shared" si="84"/>
        <v>19234414.34</v>
      </c>
      <c r="KK28" s="1045">
        <f t="shared" si="84"/>
        <v>28900057.550000001</v>
      </c>
      <c r="KL28" s="114">
        <f t="shared" si="84"/>
        <v>8588685.3199999966</v>
      </c>
      <c r="KM28" s="111">
        <f t="shared" si="84"/>
        <v>19375138.780000001</v>
      </c>
      <c r="KN28" s="114">
        <f t="shared" si="84"/>
        <v>936233.45</v>
      </c>
      <c r="KO28" s="109">
        <f t="shared" si="84"/>
        <v>3243333.44</v>
      </c>
      <c r="KP28" s="111">
        <f t="shared" si="84"/>
        <v>0</v>
      </c>
      <c r="KQ28" s="114">
        <f t="shared" si="84"/>
        <v>3243333.44</v>
      </c>
      <c r="KR28" s="111">
        <f t="shared" si="84"/>
        <v>0</v>
      </c>
      <c r="KS28" s="113">
        <f t="shared" si="84"/>
        <v>0</v>
      </c>
      <c r="KT28" s="111">
        <f t="shared" si="84"/>
        <v>0</v>
      </c>
      <c r="KU28" s="114">
        <f t="shared" si="84"/>
        <v>0</v>
      </c>
      <c r="KV28" s="110">
        <f t="shared" si="84"/>
        <v>0</v>
      </c>
      <c r="KW28" s="109">
        <f t="shared" si="84"/>
        <v>1400016000</v>
      </c>
      <c r="KX28" s="110">
        <f t="shared" si="84"/>
        <v>1400016000</v>
      </c>
      <c r="KY28" s="111">
        <f t="shared" ref="KY28:LD28" si="85">SUM(KY10:KY27)</f>
        <v>0</v>
      </c>
      <c r="KZ28" s="112">
        <f t="shared" si="85"/>
        <v>0</v>
      </c>
      <c r="LA28" s="117">
        <f t="shared" si="85"/>
        <v>603766088.17999995</v>
      </c>
      <c r="LB28" s="110">
        <f t="shared" si="85"/>
        <v>603766088.17999995</v>
      </c>
      <c r="LC28" s="111">
        <f t="shared" si="85"/>
        <v>0</v>
      </c>
      <c r="LD28" s="111">
        <f t="shared" si="85"/>
        <v>0</v>
      </c>
    </row>
    <row r="29" spans="1:316" ht="25.5" customHeight="1" x14ac:dyDescent="0.25">
      <c r="A29" s="54"/>
      <c r="B29" s="120"/>
      <c r="C29" s="121"/>
      <c r="D29" s="121"/>
      <c r="E29" s="121"/>
      <c r="F29" s="120"/>
      <c r="G29" s="121"/>
      <c r="H29" s="121"/>
      <c r="I29" s="121"/>
      <c r="J29" s="54"/>
      <c r="K29" s="55">
        <f>M29-'Федеральные  средства  по  МО'!N30-'Федеральные  средства  по  МО'!D30</f>
        <v>0</v>
      </c>
      <c r="L29" s="55">
        <f>Q29-'Федеральные  средства  по  МО'!O30-'Федеральные  средства  по  МО'!E30</f>
        <v>0</v>
      </c>
      <c r="M29" s="120"/>
      <c r="N29" s="121"/>
      <c r="O29" s="121"/>
      <c r="P29" s="121"/>
      <c r="Q29" s="120"/>
      <c r="R29" s="121"/>
      <c r="S29" s="121"/>
      <c r="T29" s="121"/>
      <c r="U29" s="122"/>
      <c r="V29" s="123"/>
      <c r="W29" s="124"/>
      <c r="X29" s="125"/>
      <c r="Y29" s="126"/>
      <c r="Z29" s="123"/>
      <c r="AA29" s="124"/>
      <c r="AB29" s="127"/>
      <c r="AC29" s="1068"/>
      <c r="AD29" s="124"/>
      <c r="AE29" s="125"/>
      <c r="AF29" s="124"/>
      <c r="AG29" s="1072"/>
      <c r="AH29" s="124"/>
      <c r="AI29" s="125"/>
      <c r="AJ29" s="124"/>
      <c r="AK29" s="122"/>
      <c r="AL29" s="124"/>
      <c r="AM29" s="125"/>
      <c r="AN29" s="124"/>
      <c r="AO29" s="128"/>
      <c r="AP29" s="124"/>
      <c r="AQ29" s="125"/>
      <c r="AR29" s="124"/>
      <c r="AS29" s="128"/>
      <c r="AT29" s="123"/>
      <c r="AU29" s="124"/>
      <c r="AV29" s="125"/>
      <c r="AW29" s="126"/>
      <c r="AX29" s="123"/>
      <c r="AY29" s="124"/>
      <c r="AZ29" s="125"/>
      <c r="BA29" s="122"/>
      <c r="BB29" s="123"/>
      <c r="BC29" s="124"/>
      <c r="BD29" s="125"/>
      <c r="BE29" s="126"/>
      <c r="BF29" s="123"/>
      <c r="BG29" s="124"/>
      <c r="BH29" s="127"/>
      <c r="BI29" s="122"/>
      <c r="BJ29" s="124"/>
      <c r="BK29" s="125"/>
      <c r="BL29" s="124"/>
      <c r="BM29" s="129"/>
      <c r="BN29" s="124"/>
      <c r="BO29" s="124"/>
      <c r="BP29" s="127"/>
      <c r="BQ29" s="126"/>
      <c r="BR29" s="130"/>
      <c r="BS29" s="124"/>
      <c r="BT29" s="125"/>
      <c r="BU29" s="131"/>
      <c r="BV29" s="130"/>
      <c r="BW29" s="124"/>
      <c r="BX29" s="125"/>
      <c r="BY29" s="132"/>
      <c r="BZ29" s="130"/>
      <c r="CA29" s="130"/>
      <c r="CB29" s="133"/>
      <c r="CC29" s="134"/>
      <c r="CD29" s="130"/>
      <c r="CE29" s="124"/>
      <c r="CF29" s="125"/>
      <c r="CG29" s="132"/>
      <c r="CH29" s="135"/>
      <c r="CI29" s="130"/>
      <c r="CJ29" s="133"/>
      <c r="CK29" s="134"/>
      <c r="CL29" s="123"/>
      <c r="CM29" s="124"/>
      <c r="CN29" s="125"/>
      <c r="CO29" s="132"/>
      <c r="CP29" s="130"/>
      <c r="CQ29" s="133"/>
      <c r="CR29" s="130"/>
      <c r="CS29" s="136"/>
      <c r="CT29" s="124"/>
      <c r="CU29" s="125"/>
      <c r="CV29" s="124"/>
      <c r="CW29" s="132"/>
      <c r="CX29" s="135"/>
      <c r="CY29" s="130"/>
      <c r="CZ29" s="133"/>
      <c r="DA29" s="134"/>
      <c r="DB29" s="123"/>
      <c r="DC29" s="124"/>
      <c r="DD29" s="125"/>
      <c r="DE29" s="132"/>
      <c r="DF29" s="130"/>
      <c r="DG29" s="133"/>
      <c r="DH29" s="130"/>
      <c r="DI29" s="136"/>
      <c r="DJ29" s="124"/>
      <c r="DK29" s="125"/>
      <c r="DL29" s="124"/>
      <c r="DM29" s="132"/>
      <c r="DN29" s="130"/>
      <c r="DO29" s="133"/>
      <c r="DP29" s="130"/>
      <c r="DQ29" s="136"/>
      <c r="DR29" s="124"/>
      <c r="DS29" s="125"/>
      <c r="DT29" s="124"/>
      <c r="DU29" s="132"/>
      <c r="DV29" s="130"/>
      <c r="DW29" s="133"/>
      <c r="DX29" s="130"/>
      <c r="DY29" s="136"/>
      <c r="DZ29" s="124"/>
      <c r="EA29" s="125"/>
      <c r="EB29" s="124"/>
      <c r="EC29" s="132"/>
      <c r="ED29" s="130"/>
      <c r="EE29" s="133"/>
      <c r="EF29" s="130"/>
      <c r="EG29" s="136"/>
      <c r="EH29" s="124"/>
      <c r="EI29" s="125"/>
      <c r="EJ29" s="124"/>
      <c r="EK29" s="132"/>
      <c r="EL29" s="130"/>
      <c r="EM29" s="133"/>
      <c r="EN29" s="130"/>
      <c r="EO29" s="136"/>
      <c r="EP29" s="124"/>
      <c r="EQ29" s="125"/>
      <c r="ER29" s="124"/>
      <c r="ES29" s="122"/>
      <c r="ET29" s="124"/>
      <c r="EU29" s="127"/>
      <c r="EV29" s="125"/>
      <c r="EW29" s="137"/>
      <c r="EX29" s="123"/>
      <c r="EY29" s="124"/>
      <c r="EZ29" s="124"/>
      <c r="FA29" s="129"/>
      <c r="FB29" s="124"/>
      <c r="FC29" s="127"/>
      <c r="FD29" s="125"/>
      <c r="FE29" s="137"/>
      <c r="FF29" s="124"/>
      <c r="FG29" s="127"/>
      <c r="FH29" s="125"/>
      <c r="FI29" s="126"/>
      <c r="FJ29" s="123"/>
      <c r="FK29" s="124"/>
      <c r="FL29" s="125"/>
      <c r="FM29" s="137"/>
      <c r="FN29" s="123"/>
      <c r="FO29" s="124"/>
      <c r="FP29" s="124"/>
      <c r="FQ29" s="138"/>
      <c r="FR29" s="135"/>
      <c r="FS29" s="130"/>
      <c r="FT29" s="133"/>
      <c r="FU29" s="134"/>
      <c r="FV29" s="123"/>
      <c r="FW29" s="124"/>
      <c r="FX29" s="125"/>
      <c r="FY29" s="132"/>
      <c r="FZ29" s="135"/>
      <c r="GA29" s="130"/>
      <c r="GB29" s="133"/>
      <c r="GC29" s="134"/>
      <c r="GD29" s="123"/>
      <c r="GE29" s="124"/>
      <c r="GF29" s="125"/>
      <c r="GG29" s="139"/>
      <c r="GH29" s="140"/>
      <c r="GI29" s="133"/>
      <c r="GJ29" s="130"/>
      <c r="GK29" s="134"/>
      <c r="GL29" s="124"/>
      <c r="GM29" s="125"/>
      <c r="GN29" s="124"/>
      <c r="GO29" s="132"/>
      <c r="GP29" s="135"/>
      <c r="GQ29" s="130"/>
      <c r="GR29" s="133"/>
      <c r="GS29" s="134"/>
      <c r="GT29" s="123"/>
      <c r="GU29" s="124"/>
      <c r="GV29" s="125"/>
      <c r="GW29" s="132"/>
      <c r="GX29" s="135"/>
      <c r="GY29" s="130"/>
      <c r="GZ29" s="133"/>
      <c r="HA29" s="134"/>
      <c r="HB29" s="130"/>
      <c r="HC29" s="127"/>
      <c r="HD29" s="125"/>
      <c r="HE29" s="139"/>
      <c r="HF29" s="135"/>
      <c r="HG29" s="130"/>
      <c r="HH29" s="133"/>
      <c r="HI29" s="134"/>
      <c r="HJ29" s="123"/>
      <c r="HK29" s="124"/>
      <c r="HL29" s="125"/>
      <c r="HM29" s="139"/>
      <c r="HN29" s="135"/>
      <c r="HO29" s="130"/>
      <c r="HP29" s="133"/>
      <c r="HQ29" s="134"/>
      <c r="HR29" s="135"/>
      <c r="HS29" s="124"/>
      <c r="HT29" s="124"/>
      <c r="HU29" s="132"/>
      <c r="HV29" s="135"/>
      <c r="HW29" s="130"/>
      <c r="HX29" s="133"/>
      <c r="HY29" s="141"/>
      <c r="HZ29" s="130"/>
      <c r="IA29" s="133"/>
      <c r="IB29" s="130"/>
      <c r="IC29" s="132"/>
      <c r="ID29" s="135"/>
      <c r="IE29" s="130"/>
      <c r="IF29" s="133"/>
      <c r="IG29" s="134"/>
      <c r="IH29" s="123"/>
      <c r="II29" s="124"/>
      <c r="IJ29" s="125"/>
      <c r="IK29" s="139"/>
      <c r="IL29" s="135"/>
      <c r="IM29" s="130"/>
      <c r="IN29" s="133"/>
      <c r="IO29" s="134"/>
      <c r="IP29" s="123"/>
      <c r="IQ29" s="124"/>
      <c r="IR29" s="125"/>
      <c r="IS29" s="132"/>
      <c r="IT29" s="130"/>
      <c r="IU29" s="133"/>
      <c r="IV29" s="130"/>
      <c r="IW29" s="136"/>
      <c r="IX29" s="124"/>
      <c r="IY29" s="124"/>
      <c r="IZ29" s="124"/>
      <c r="JA29" s="132"/>
      <c r="JB29" s="130"/>
      <c r="JC29" s="133"/>
      <c r="JD29" s="130"/>
      <c r="JE29" s="136"/>
      <c r="JF29" s="124"/>
      <c r="JG29" s="125"/>
      <c r="JH29" s="124"/>
      <c r="JI29" s="132"/>
      <c r="JJ29" s="130"/>
      <c r="JK29" s="133"/>
      <c r="JL29" s="130"/>
      <c r="JM29" s="136"/>
      <c r="JN29" s="124"/>
      <c r="JO29" s="125"/>
      <c r="JP29" s="124"/>
      <c r="JQ29" s="132"/>
      <c r="JR29" s="130"/>
      <c r="JS29" s="133"/>
      <c r="JT29" s="130"/>
      <c r="JU29" s="136"/>
      <c r="JV29" s="124"/>
      <c r="JW29" s="125"/>
      <c r="JX29" s="124"/>
      <c r="JY29" s="139"/>
      <c r="JZ29" s="135"/>
      <c r="KA29" s="135"/>
      <c r="KB29" s="130"/>
      <c r="KC29" s="136"/>
      <c r="KD29" s="124"/>
      <c r="KE29" s="125"/>
      <c r="KF29" s="124"/>
      <c r="KG29" s="122"/>
      <c r="KH29" s="124"/>
      <c r="KI29" s="125"/>
      <c r="KJ29" s="124"/>
      <c r="KK29" s="142"/>
      <c r="KL29" s="123"/>
      <c r="KM29" s="124"/>
      <c r="KN29" s="125"/>
      <c r="KO29" s="122"/>
      <c r="KP29" s="124"/>
      <c r="KQ29" s="125"/>
      <c r="KR29" s="124"/>
      <c r="KS29" s="143"/>
      <c r="KT29" s="124"/>
      <c r="KU29" s="125"/>
      <c r="KV29" s="124"/>
      <c r="KW29" s="122"/>
      <c r="KX29" s="123"/>
      <c r="KY29" s="124"/>
      <c r="KZ29" s="125"/>
      <c r="LA29" s="137"/>
      <c r="LB29" s="123"/>
      <c r="LC29" s="124"/>
      <c r="LD29" s="124"/>
    </row>
    <row r="30" spans="1:316" ht="25.5" customHeight="1" x14ac:dyDescent="0.25">
      <c r="A30" s="70" t="s">
        <v>337</v>
      </c>
      <c r="B30" s="73">
        <f t="shared" ref="B30:B31" si="86">SUM(C30:E30)</f>
        <v>133407787.52000001</v>
      </c>
      <c r="C30" s="74">
        <f t="shared" ref="C30:C31" si="87">N30-V30-AL30-AD30</f>
        <v>132581554.39000002</v>
      </c>
      <c r="D30" s="74">
        <f t="shared" ref="D30:D31" si="88">O30-W30-AM30-AE30</f>
        <v>826233.13</v>
      </c>
      <c r="E30" s="74">
        <f t="shared" ref="E30:E31" si="89">P30-X30-AN30-AF30</f>
        <v>0</v>
      </c>
      <c r="F30" s="73">
        <f t="shared" ref="F30:F31" si="90">SUM(G30:I30)</f>
        <v>65859591.009999998</v>
      </c>
      <c r="G30" s="74">
        <f t="shared" ref="G30:G31" si="91">R30-Z30-AP30-AH30</f>
        <v>65859591.009999998</v>
      </c>
      <c r="H30" s="74">
        <f t="shared" ref="H30:H31" si="92">S30-AA30-AQ30-AI30</f>
        <v>0</v>
      </c>
      <c r="I30" s="74">
        <f t="shared" ref="I30:I31" si="93">T30-AB30-AR30-AJ30</f>
        <v>0</v>
      </c>
      <c r="J30" s="54"/>
      <c r="K30" s="55">
        <f>M30-'Федеральные  средства  по  МО'!N31-'Федеральные  средства  по  МО'!D31</f>
        <v>0</v>
      </c>
      <c r="L30" s="55">
        <f>Q30-'Федеральные  средства  по  МО'!O31-'Федеральные  средства  по  МО'!E31</f>
        <v>0</v>
      </c>
      <c r="M30" s="1043">
        <f t="shared" ref="M30:M31" si="94">U30+AS30+BQ30+BY30+CG30+CW30+GW30+FI30+FQ30+HM30+GO30+HU30+IC30+IK30+KG30+KW30+HE30+CO30+KO30+BA30+JY30+DU30+JI30+JA30+FY30+BI30+JQ30+IS30+DE30+DM30+GG30+EK30+EC30+AK30+ES30+FA30+AC30</f>
        <v>171166787.52000001</v>
      </c>
      <c r="N30" s="74">
        <f t="shared" ref="N30:N31" si="95">V30+AT30+BR30+BZ30+CH30+CX30+GX30+FJ30+FR30+HN30+GP30+HV30+ID30+IL30+KH30+KX30+HF30+CP30+KP30+BB30+JZ30+DV30+JJ30+JB30+FZ30+BJ30+JR30+IT30+DF30+DN30+GH30+EL30+ED30+AL30+ET30+FB30+AD30</f>
        <v>170340554.39000002</v>
      </c>
      <c r="O30" s="74">
        <f t="shared" ref="O30:O31" si="96">W30+AU30+BS30+CA30+CI30+CY30+GY30+FK30+FS30+HO30+GQ30+HW30+IE30+IM30+KI30+KY30+HG30+CQ30+KQ30+BC30+KA30+DW30+JK30+JC30+GA30+BK30+JS30+IU30+DG30+DO30+GI30+EM30+EE30+AM30+EU30+FC30+AE30</f>
        <v>826233.13</v>
      </c>
      <c r="P30" s="74">
        <f t="shared" ref="P30:P31" si="97">X30+AV30+BT30+CB30+CJ30+CZ30+GZ30+FL30+FT30+HP30+GR30+HX30+IF30+IN30+KJ30+KZ30+HH30+CR30+KR30+BD30+KB30+DX30+JL30+JD30+GB30+BL30+JT30+IV30+DH30+DP30+GJ30+EN30+EF30+AN30+EV30+FD30+AF30</f>
        <v>0</v>
      </c>
      <c r="Q30" s="1043">
        <f t="shared" ref="Q30:Q31" si="98">Y30+AW30+BU30+CC30+CK30+DA30+HA30+FM30+FU30+HQ30+GS30+HY30+IG30+IO30+KK30+LA30+HI30+CS30+KS30+BE30+KC30+DY30+JM30+JE30+GC30+BM30+JU30+IW30+DI30+DQ30+GK30+EO30+EG30+AO30+EW30+FE30+AG30</f>
        <v>65859591.009999998</v>
      </c>
      <c r="R30" s="74">
        <f t="shared" ref="R30:R31" si="99">Z30+AX30+BV30+CD30+CL30+DB30+HB30+FN30+FV30+HR30+GT30+HZ30+IH30+IP30+KL30+LB30+HJ30+CT30+KT30+BF30+KD30+DZ30+JN30+JF30+GD30+BN30+JV30+IX30+DJ30+DR30+GL30+EP30+EH30+AP30+EX30+FF30+AH30</f>
        <v>65859591.009999998</v>
      </c>
      <c r="S30" s="74">
        <f t="shared" ref="S30:S31" si="100">AA30+AY30+BW30+CE30+CM30+DC30+HC30+FO30+FW30+HS30+GU30+IA30+II30+IQ30+KM30+LC30+HK30+CU30+KU30+BG30+KE30+EA30+JO30+JG30+GE30+BO30+JW30+IY30+DK30+DS30+GM30+EQ30+EI30+AQ30+EY30+FG30+AI30</f>
        <v>0</v>
      </c>
      <c r="T30" s="74">
        <f t="shared" ref="T30:T31" si="101">AB30+AZ30+BX30+CF30+CN30+DD30+HD30+FP30+FX30+HT30+GV30+IB30+IJ30+IR30+KN30+LD30+HL30+CV30+KV30+BH30+KF30+EB30+JP30+JH30+GF30+BP30+JX30+IZ30+DL30+DT30+GN30+ER30+EJ30+AR30+EZ30+FH30+AJ30</f>
        <v>0</v>
      </c>
      <c r="U30" s="73">
        <f>'Федеральные  средства  по  МО'!F31</f>
        <v>0</v>
      </c>
      <c r="V30" s="76">
        <f>U30</f>
        <v>0</v>
      </c>
      <c r="W30" s="74"/>
      <c r="X30" s="75"/>
      <c r="Y30" s="73">
        <f>'Федеральные  средства  по  МО'!G31</f>
        <v>0</v>
      </c>
      <c r="Z30" s="76">
        <f>Y30</f>
        <v>0</v>
      </c>
      <c r="AA30" s="74"/>
      <c r="AB30" s="75"/>
      <c r="AC30" s="1043">
        <f>'Федеральные  средства  по  МО'!H31</f>
        <v>37759000</v>
      </c>
      <c r="AD30" s="74">
        <f t="shared" ref="AD30:AD31" si="102">AC30</f>
        <v>37759000</v>
      </c>
      <c r="AE30" s="69"/>
      <c r="AF30" s="74"/>
      <c r="AG30" s="1043">
        <f>'Федеральные  средства  по  МО'!I31</f>
        <v>0</v>
      </c>
      <c r="AH30" s="74">
        <f t="shared" ref="AH30:AH31" si="103">AG30</f>
        <v>0</v>
      </c>
      <c r="AI30" s="69"/>
      <c r="AJ30" s="74"/>
      <c r="AK30" s="73">
        <f>'Федеральные  средства  по  МО'!J31</f>
        <v>0</v>
      </c>
      <c r="AL30" s="74">
        <f t="shared" ref="AL30:AL31" si="104">AK30</f>
        <v>0</v>
      </c>
      <c r="AM30" s="69"/>
      <c r="AN30" s="74"/>
      <c r="AO30" s="73">
        <f>'Федеральные  средства  по  МО'!K31</f>
        <v>0</v>
      </c>
      <c r="AP30" s="74">
        <f t="shared" ref="AP30:AP31" si="105">AO30</f>
        <v>0</v>
      </c>
      <c r="AQ30" s="69"/>
      <c r="AR30" s="74"/>
      <c r="AS30" s="79">
        <f>'Федеральные  средства  по  МО'!P31</f>
        <v>0</v>
      </c>
      <c r="AT30" s="74">
        <f>AS30</f>
        <v>0</v>
      </c>
      <c r="AU30" s="69"/>
      <c r="AV30" s="76"/>
      <c r="AW30" s="73">
        <f>'Федеральные  средства  по  МО'!Q31</f>
        <v>0</v>
      </c>
      <c r="AX30" s="74">
        <f>AW30</f>
        <v>0</v>
      </c>
      <c r="AY30" s="74"/>
      <c r="AZ30" s="69"/>
      <c r="BA30" s="78">
        <f>'Федеральные  средства  по  МО'!R31</f>
        <v>0</v>
      </c>
      <c r="BB30" s="74">
        <f t="shared" ref="BB30:BB31" si="106">BA30</f>
        <v>0</v>
      </c>
      <c r="BC30" s="74"/>
      <c r="BD30" s="69"/>
      <c r="BE30" s="73">
        <f>'Федеральные  средства  по  МО'!S31</f>
        <v>0</v>
      </c>
      <c r="BF30" s="75">
        <f t="shared" ref="BF30:BF31" si="107">BE30</f>
        <v>0</v>
      </c>
      <c r="BG30" s="74"/>
      <c r="BH30" s="75"/>
      <c r="BI30" s="78">
        <f>'Федеральные  средства  по  МО'!T31</f>
        <v>0</v>
      </c>
      <c r="BJ30" s="74">
        <f t="shared" ref="BJ30:BJ31" si="108">BI30</f>
        <v>0</v>
      </c>
      <c r="BK30" s="69"/>
      <c r="BL30" s="74"/>
      <c r="BM30" s="79">
        <f>'Федеральные  средства  по  МО'!U31</f>
        <v>0</v>
      </c>
      <c r="BN30" s="74">
        <f t="shared" ref="BN30:BN31" si="109">BM30</f>
        <v>0</v>
      </c>
      <c r="BO30" s="74"/>
      <c r="BP30" s="75"/>
      <c r="BQ30" s="73">
        <f>'Федеральные  средства  по  МО'!V31</f>
        <v>0</v>
      </c>
      <c r="BR30" s="75">
        <f t="shared" ref="BR30:BR31" si="110">BQ30</f>
        <v>0</v>
      </c>
      <c r="BS30" s="74"/>
      <c r="BT30" s="69"/>
      <c r="BU30" s="73">
        <f>'Федеральные  средства  по  МО'!W31</f>
        <v>0</v>
      </c>
      <c r="BV30" s="74">
        <f>BU30</f>
        <v>0</v>
      </c>
      <c r="BW30" s="74"/>
      <c r="BX30" s="75"/>
      <c r="BY30" s="73">
        <f>'Федеральные  средства  по  МО'!X31</f>
        <v>0</v>
      </c>
      <c r="BZ30" s="75">
        <f t="shared" ref="BZ30:BZ31" si="111">BY30</f>
        <v>0</v>
      </c>
      <c r="CA30" s="74"/>
      <c r="CB30" s="69"/>
      <c r="CC30" s="73">
        <f>'Федеральные  средства  по  МО'!Y31</f>
        <v>0</v>
      </c>
      <c r="CD30" s="74">
        <f>CC30</f>
        <v>0</v>
      </c>
      <c r="CE30" s="74"/>
      <c r="CF30" s="75"/>
      <c r="CG30" s="73">
        <f>'Федеральные  средства  по  МО'!Z31</f>
        <v>0</v>
      </c>
      <c r="CH30" s="75">
        <f t="shared" ref="CH30:CH31" si="112">CG30</f>
        <v>0</v>
      </c>
      <c r="CI30" s="69"/>
      <c r="CJ30" s="76"/>
      <c r="CK30" s="73">
        <f>'Федеральные  средства  по  МО'!AA31</f>
        <v>0</v>
      </c>
      <c r="CL30" s="74">
        <f>CK30</f>
        <v>0</v>
      </c>
      <c r="CM30" s="74"/>
      <c r="CN30" s="75"/>
      <c r="CO30" s="78">
        <f>'Федеральные  средства  по  МО'!AB31</f>
        <v>0</v>
      </c>
      <c r="CP30" s="74">
        <f t="shared" ref="CP30:CP31" si="113">CO30</f>
        <v>0</v>
      </c>
      <c r="CQ30" s="69"/>
      <c r="CR30" s="74"/>
      <c r="CS30" s="77">
        <f>'Федеральные  средства  по  МО'!AC31</f>
        <v>0</v>
      </c>
      <c r="CT30" s="74">
        <f t="shared" ref="CT30:CT31" si="114">CS30</f>
        <v>0</v>
      </c>
      <c r="CU30" s="69"/>
      <c r="CV30" s="74"/>
      <c r="CW30" s="78">
        <f>'Федеральные  средства  по  МО'!AD31</f>
        <v>0</v>
      </c>
      <c r="CX30" s="74">
        <f>CW30</f>
        <v>0</v>
      </c>
      <c r="CY30" s="74"/>
      <c r="CZ30" s="69"/>
      <c r="DA30" s="73">
        <f>'Федеральные  средства  по  МО'!AE31</f>
        <v>0</v>
      </c>
      <c r="DB30" s="74">
        <f>DA30</f>
        <v>0</v>
      </c>
      <c r="DC30" s="74"/>
      <c r="DD30" s="75"/>
      <c r="DE30" s="73">
        <f>'Федеральные  средства  по  МО'!AF31</f>
        <v>0</v>
      </c>
      <c r="DF30" s="74">
        <f t="shared" ref="DF30:DF31" si="115">DE30</f>
        <v>0</v>
      </c>
      <c r="DG30" s="69"/>
      <c r="DH30" s="74"/>
      <c r="DI30" s="73">
        <f>'Федеральные  средства  по  МО'!AG31</f>
        <v>0</v>
      </c>
      <c r="DJ30" s="74">
        <f t="shared" ref="DJ30:DJ31" si="116">DI30</f>
        <v>0</v>
      </c>
      <c r="DK30" s="69"/>
      <c r="DL30" s="74"/>
      <c r="DM30" s="73">
        <f>'Федеральные  средства  по  МО'!AH31</f>
        <v>0</v>
      </c>
      <c r="DN30" s="74">
        <f t="shared" ref="DN30:DN31" si="117">DM30</f>
        <v>0</v>
      </c>
      <c r="DO30" s="69"/>
      <c r="DP30" s="74"/>
      <c r="DQ30" s="73">
        <f>'Федеральные  средства  по  МО'!AI31</f>
        <v>0</v>
      </c>
      <c r="DR30" s="74">
        <f t="shared" ref="DR30:DR31" si="118">DQ30</f>
        <v>0</v>
      </c>
      <c r="DS30" s="69"/>
      <c r="DT30" s="74"/>
      <c r="DU30" s="78">
        <f>'Федеральные  средства  по  МО'!AJ31</f>
        <v>0</v>
      </c>
      <c r="DV30" s="74">
        <f t="shared" ref="DV30:DV31" si="119">DU30</f>
        <v>0</v>
      </c>
      <c r="DW30" s="69"/>
      <c r="DX30" s="74"/>
      <c r="DY30" s="77">
        <f>'Федеральные  средства  по  МО'!AK31</f>
        <v>0</v>
      </c>
      <c r="DZ30" s="74">
        <f t="shared" ref="DZ30:DZ31" si="120">DY30</f>
        <v>0</v>
      </c>
      <c r="EA30" s="69"/>
      <c r="EB30" s="74"/>
      <c r="EC30" s="73">
        <f>'Федеральные  средства  по  МО'!AL31</f>
        <v>0</v>
      </c>
      <c r="ED30" s="69">
        <f t="shared" ref="ED30:ED31" si="121">EC30</f>
        <v>0</v>
      </c>
      <c r="EE30" s="74"/>
      <c r="EF30" s="69"/>
      <c r="EG30" s="73">
        <f>'Федеральные  средства  по  МО'!AM31</f>
        <v>0</v>
      </c>
      <c r="EH30" s="69">
        <f t="shared" ref="EH30:EH31" si="122">EG30</f>
        <v>0</v>
      </c>
      <c r="EI30" s="74"/>
      <c r="EJ30" s="69"/>
      <c r="EK30" s="78">
        <f>'Федеральные  средства  по  МО'!AV31</f>
        <v>0</v>
      </c>
      <c r="EL30" s="74">
        <f t="shared" ref="EL30:EL31" si="123">EK30</f>
        <v>0</v>
      </c>
      <c r="EM30" s="69"/>
      <c r="EN30" s="74"/>
      <c r="EO30" s="77">
        <f>'Федеральные  средства  по  МО'!AW31</f>
        <v>0</v>
      </c>
      <c r="EP30" s="74">
        <f t="shared" ref="EP30:EP31" si="124">EO30</f>
        <v>0</v>
      </c>
      <c r="EQ30" s="69"/>
      <c r="ER30" s="74"/>
      <c r="ES30" s="78">
        <f>'Федеральные  средства  по  МО'!AP31</f>
        <v>0</v>
      </c>
      <c r="ET30" s="74">
        <f>ES30</f>
        <v>0</v>
      </c>
      <c r="EU30" s="69"/>
      <c r="EV30" s="74"/>
      <c r="EW30" s="144">
        <f>'Федеральные  средства  по  МО'!AQ31</f>
        <v>0</v>
      </c>
      <c r="EX30" s="74">
        <f>EW30</f>
        <v>0</v>
      </c>
      <c r="EY30" s="74"/>
      <c r="EZ30" s="74"/>
      <c r="FA30" s="73">
        <f>'Федеральные  средства  по  МО'!AR31</f>
        <v>0</v>
      </c>
      <c r="FB30" s="74">
        <f>FA30</f>
        <v>0</v>
      </c>
      <c r="FC30" s="69"/>
      <c r="FD30" s="74"/>
      <c r="FE30" s="73">
        <f>'Федеральные  средства  по  МО'!AS31</f>
        <v>0</v>
      </c>
      <c r="FF30" s="74">
        <f>FE30</f>
        <v>0</v>
      </c>
      <c r="FG30" s="69"/>
      <c r="FH30" s="74"/>
      <c r="FI30" s="73">
        <f>'Федеральные  средства  по  МО'!AT31</f>
        <v>2488300</v>
      </c>
      <c r="FJ30" s="74">
        <f>FI30</f>
        <v>2488300</v>
      </c>
      <c r="FK30" s="69"/>
      <c r="FL30" s="74"/>
      <c r="FM30" s="73">
        <f>'Федеральные  средства  по  МО'!AU31</f>
        <v>2488299.9900000002</v>
      </c>
      <c r="FN30" s="74">
        <f>FM30</f>
        <v>2488299.9900000002</v>
      </c>
      <c r="FO30" s="74"/>
      <c r="FP30" s="74"/>
      <c r="FQ30" s="73">
        <f>'Федеральные  средства  по  МО'!AV31</f>
        <v>0</v>
      </c>
      <c r="FR30" s="74">
        <f>FQ30</f>
        <v>0</v>
      </c>
      <c r="FS30" s="74"/>
      <c r="FT30" s="75"/>
      <c r="FU30" s="73">
        <f>'Федеральные  средства  по  МО'!AW31</f>
        <v>0</v>
      </c>
      <c r="FV30" s="74">
        <f>FU30</f>
        <v>0</v>
      </c>
      <c r="FW30" s="74"/>
      <c r="FX30" s="69"/>
      <c r="FY30" s="78">
        <f>'Федеральные  средства  по  МО'!AX31</f>
        <v>826233.13</v>
      </c>
      <c r="FZ30" s="74"/>
      <c r="GA30" s="69">
        <f t="shared" ref="GA30:GA31" si="125">FY30</f>
        <v>826233.13</v>
      </c>
      <c r="GB30" s="74"/>
      <c r="GC30" s="73">
        <f>'Федеральные  средства  по  МО'!AY31</f>
        <v>0</v>
      </c>
      <c r="GD30" s="69"/>
      <c r="GE30" s="74">
        <f t="shared" ref="GE30:GE31" si="126">GC30</f>
        <v>0</v>
      </c>
      <c r="GF30" s="69"/>
      <c r="GG30" s="73">
        <f>'Федеральные  средства  по  МО'!AZ31</f>
        <v>35144.9</v>
      </c>
      <c r="GH30" s="75">
        <f t="shared" ref="GH30:GH31" si="127">GG30</f>
        <v>35144.9</v>
      </c>
      <c r="GI30" s="69"/>
      <c r="GJ30" s="76"/>
      <c r="GK30" s="73">
        <f>'Федеральные  средства  по  МО'!BA31</f>
        <v>0</v>
      </c>
      <c r="GL30" s="75">
        <f t="shared" ref="GL30:GL31" si="128">GK30</f>
        <v>0</v>
      </c>
      <c r="GM30" s="69"/>
      <c r="GN30" s="74"/>
      <c r="GO30" s="73">
        <f>'Федеральные  средства  по  МО'!BB31</f>
        <v>0</v>
      </c>
      <c r="GP30" s="74">
        <f>GO30</f>
        <v>0</v>
      </c>
      <c r="GQ30" s="74"/>
      <c r="GR30" s="75"/>
      <c r="GS30" s="73">
        <f>'Федеральные  средства  по  МО'!BC31</f>
        <v>0</v>
      </c>
      <c r="GT30" s="74">
        <f>GS30</f>
        <v>0</v>
      </c>
      <c r="GU30" s="74"/>
      <c r="GV30" s="75"/>
      <c r="GW30" s="73">
        <f>'Федеральные  средства  по  МО'!BD31</f>
        <v>0</v>
      </c>
      <c r="GX30" s="74">
        <f t="shared" ref="GX30:GX31" si="129">GW30</f>
        <v>0</v>
      </c>
      <c r="GY30" s="76"/>
      <c r="GZ30" s="76"/>
      <c r="HA30" s="73">
        <f>'Федеральные  средства  по  МО'!BE31</f>
        <v>0</v>
      </c>
      <c r="HB30" s="74">
        <f t="shared" ref="HB30:HB31" si="130">HA30</f>
        <v>0</v>
      </c>
      <c r="HC30" s="75"/>
      <c r="HD30" s="69"/>
      <c r="HE30" s="73">
        <f>'Федеральные  средства  по  МО'!BF31</f>
        <v>0</v>
      </c>
      <c r="HF30" s="74">
        <f>HE30</f>
        <v>0</v>
      </c>
      <c r="HG30" s="74"/>
      <c r="HH30" s="75"/>
      <c r="HI30" s="73">
        <f>'Федеральные  средства  по  МО'!BG31</f>
        <v>0</v>
      </c>
      <c r="HJ30" s="74">
        <f>HI30</f>
        <v>0</v>
      </c>
      <c r="HK30" s="74"/>
      <c r="HL30" s="75"/>
      <c r="HM30" s="73">
        <f>'Федеральные  средства  по  МО'!BH31</f>
        <v>329409.49</v>
      </c>
      <c r="HN30" s="74">
        <f>HM30</f>
        <v>329409.49</v>
      </c>
      <c r="HO30" s="74"/>
      <c r="HP30" s="75"/>
      <c r="HQ30" s="73">
        <f>'Федеральные  средства  по  МО'!BI31</f>
        <v>0</v>
      </c>
      <c r="HR30" s="74">
        <f>HQ30</f>
        <v>0</v>
      </c>
      <c r="HS30" s="74"/>
      <c r="HT30" s="74"/>
      <c r="HU30" s="73">
        <f>'Федеральные  средства  по  МО'!BJ31</f>
        <v>0</v>
      </c>
      <c r="HV30" s="74">
        <f>HU30</f>
        <v>0</v>
      </c>
      <c r="HW30" s="74"/>
      <c r="HX30" s="75"/>
      <c r="HY30" s="73">
        <f>'Федеральные  средства  по  МО'!BK31</f>
        <v>0</v>
      </c>
      <c r="HZ30" s="74">
        <f>HY30</f>
        <v>0</v>
      </c>
      <c r="IA30" s="69"/>
      <c r="IB30" s="74"/>
      <c r="IC30" s="73">
        <f>'Федеральные  средства  по  МО'!BL31</f>
        <v>29000000</v>
      </c>
      <c r="ID30" s="74">
        <f>IC30</f>
        <v>29000000</v>
      </c>
      <c r="IE30" s="74"/>
      <c r="IF30" s="75"/>
      <c r="IG30" s="73">
        <f>'Федеральные  средства  по  МО'!BM31</f>
        <v>5877145.7999999998</v>
      </c>
      <c r="IH30" s="74">
        <f>IG30</f>
        <v>5877145.7999999998</v>
      </c>
      <c r="II30" s="74"/>
      <c r="IJ30" s="69"/>
      <c r="IK30" s="73">
        <f>'Федеральные  средства  по  МО'!BN31</f>
        <v>0</v>
      </c>
      <c r="IL30" s="74">
        <f>IK30</f>
        <v>0</v>
      </c>
      <c r="IM30" s="74"/>
      <c r="IN30" s="75"/>
      <c r="IO30" s="73">
        <f>'Федеральные  средства  по  МО'!BO31</f>
        <v>0</v>
      </c>
      <c r="IP30" s="74">
        <f>IO30</f>
        <v>0</v>
      </c>
      <c r="IQ30" s="74"/>
      <c r="IR30" s="75"/>
      <c r="IS30" s="78">
        <f>'Федеральные  средства  по  МО'!BR31</f>
        <v>0</v>
      </c>
      <c r="IT30" s="74">
        <f t="shared" ref="IT30:IT31" si="131">IS30</f>
        <v>0</v>
      </c>
      <c r="IU30" s="69"/>
      <c r="IV30" s="74"/>
      <c r="IW30" s="79">
        <f>'Федеральные  средства  по  МО'!BS31</f>
        <v>0</v>
      </c>
      <c r="IX30" s="74">
        <f t="shared" ref="IX30:IX31" si="132">IW30</f>
        <v>0</v>
      </c>
      <c r="IY30" s="74"/>
      <c r="IZ30" s="74"/>
      <c r="JA30" s="78">
        <f>'Федеральные  средства  по  МО'!BT31</f>
        <v>0</v>
      </c>
      <c r="JB30" s="74">
        <f>'Проверочная  таблица'!RN33</f>
        <v>0</v>
      </c>
      <c r="JC30" s="69">
        <f>'Проверочная  таблица'!RT33</f>
        <v>0</v>
      </c>
      <c r="JD30" s="74">
        <f>'Проверочная  таблица'!RZ33</f>
        <v>0</v>
      </c>
      <c r="JE30" s="77">
        <f>'Федеральные  средства  по  МО'!BU31</f>
        <v>0</v>
      </c>
      <c r="JF30" s="74">
        <f>'Проверочная  таблица'!RK33</f>
        <v>0</v>
      </c>
      <c r="JG30" s="69">
        <f>'Проверочная  таблица'!RW33</f>
        <v>0</v>
      </c>
      <c r="JH30" s="74">
        <f>'Проверочная  таблица'!SC33</f>
        <v>0</v>
      </c>
      <c r="JI30" s="78">
        <f>'Федеральные  средства  по  МО'!BV31</f>
        <v>0</v>
      </c>
      <c r="JJ30" s="74">
        <f t="shared" ref="JJ30:JJ31" si="133">JI30</f>
        <v>0</v>
      </c>
      <c r="JK30" s="69"/>
      <c r="JL30" s="74"/>
      <c r="JM30" s="79">
        <f>'Федеральные  средства  по  МО'!BW31</f>
        <v>0</v>
      </c>
      <c r="JN30" s="74">
        <f t="shared" ref="JN30:JN31" si="134">JM30</f>
        <v>0</v>
      </c>
      <c r="JO30" s="69"/>
      <c r="JP30" s="74"/>
      <c r="JQ30" s="78">
        <f>'Федеральные  средства  по  МО'!BX31</f>
        <v>100728700</v>
      </c>
      <c r="JR30" s="74">
        <f t="shared" ref="JR30:JR31" si="135">JQ30</f>
        <v>100728700</v>
      </c>
      <c r="JS30" s="69"/>
      <c r="JT30" s="74"/>
      <c r="JU30" s="79">
        <f>'Федеральные  средства  по  МО'!BY31</f>
        <v>57494145.219999999</v>
      </c>
      <c r="JV30" s="74">
        <f t="shared" ref="JV30:JV31" si="136">JU30</f>
        <v>57494145.219999999</v>
      </c>
      <c r="JW30" s="69"/>
      <c r="JX30" s="74"/>
      <c r="JY30" s="78">
        <f>'Федеральные  средства  по  МО'!BZ31</f>
        <v>0</v>
      </c>
      <c r="JZ30" s="74">
        <f t="shared" ref="JZ30:JZ31" si="137">JY30</f>
        <v>0</v>
      </c>
      <c r="KA30" s="69"/>
      <c r="KB30" s="74"/>
      <c r="KC30" s="77">
        <f>'Федеральные  средства  по  МО'!CA31</f>
        <v>0</v>
      </c>
      <c r="KD30" s="74">
        <f t="shared" ref="KD30:KD31" si="138">KC30</f>
        <v>0</v>
      </c>
      <c r="KE30" s="69"/>
      <c r="KF30" s="74"/>
      <c r="KG30" s="73">
        <f>'Федеральные  средства  по  МО'!CB31</f>
        <v>0</v>
      </c>
      <c r="KH30" s="74">
        <f>KG30</f>
        <v>0</v>
      </c>
      <c r="KI30" s="69"/>
      <c r="KJ30" s="74"/>
      <c r="KK30" s="73">
        <f>'Федеральные  средства  по  МО'!CC31</f>
        <v>0</v>
      </c>
      <c r="KL30" s="74">
        <f>KK30</f>
        <v>0</v>
      </c>
      <c r="KM30" s="74"/>
      <c r="KN30" s="75"/>
      <c r="KO30" s="78">
        <f>'Федеральные  средства  по  МО'!CD31</f>
        <v>0</v>
      </c>
      <c r="KP30" s="74">
        <f>'Проверочная  таблица'!TB33</f>
        <v>0</v>
      </c>
      <c r="KQ30" s="69">
        <f t="shared" ref="KQ30:KQ31" si="139">KO30-KP30</f>
        <v>0</v>
      </c>
      <c r="KR30" s="74"/>
      <c r="KS30" s="77">
        <f>'Федеральные  средства  по  МО'!CE31</f>
        <v>0</v>
      </c>
      <c r="KT30" s="74">
        <f>'Проверочная  таблица'!TI33</f>
        <v>0</v>
      </c>
      <c r="KU30" s="69">
        <f t="shared" ref="KU30:KU31" si="140">KS30-KT30</f>
        <v>0</v>
      </c>
      <c r="KV30" s="74"/>
      <c r="KW30" s="73">
        <f>'Федеральные  средства  по  МО'!CF31</f>
        <v>0</v>
      </c>
      <c r="KX30" s="74">
        <f>KW30</f>
        <v>0</v>
      </c>
      <c r="KY30" s="69"/>
      <c r="KZ30" s="74"/>
      <c r="LA30" s="73">
        <f>'Федеральные  средства  по  МО'!CG31</f>
        <v>0</v>
      </c>
      <c r="LB30" s="74">
        <f>LA30</f>
        <v>0</v>
      </c>
      <c r="LC30" s="74"/>
      <c r="LD30" s="74"/>
    </row>
    <row r="31" spans="1:316" ht="25.5" customHeight="1" thickBot="1" x14ac:dyDescent="0.3">
      <c r="A31" s="54" t="s">
        <v>338</v>
      </c>
      <c r="B31" s="71">
        <f t="shared" si="86"/>
        <v>3908739524.3399992</v>
      </c>
      <c r="C31" s="72">
        <f t="shared" si="87"/>
        <v>3906851041.4599991</v>
      </c>
      <c r="D31" s="72">
        <f t="shared" si="88"/>
        <v>1888482.88</v>
      </c>
      <c r="E31" s="72">
        <f t="shared" si="89"/>
        <v>0</v>
      </c>
      <c r="F31" s="71">
        <f t="shared" si="90"/>
        <v>1659720950.4099998</v>
      </c>
      <c r="G31" s="72">
        <f t="shared" si="91"/>
        <v>1659720950.4099998</v>
      </c>
      <c r="H31" s="72">
        <f t="shared" si="92"/>
        <v>0</v>
      </c>
      <c r="I31" s="72">
        <f t="shared" si="93"/>
        <v>0</v>
      </c>
      <c r="J31" s="54"/>
      <c r="K31" s="55">
        <f>M31-'Федеральные  средства  по  МО'!N32-'Федеральные  средства  по  МО'!D32</f>
        <v>-9.5367431640625E-7</v>
      </c>
      <c r="L31" s="55">
        <f>Q31-'Федеральные  средства  по  МО'!O32-'Федеральные  средства  по  МО'!E32</f>
        <v>0</v>
      </c>
      <c r="M31" s="1083">
        <f t="shared" si="94"/>
        <v>3908739524.3399992</v>
      </c>
      <c r="N31" s="72">
        <f t="shared" si="95"/>
        <v>3906851041.4599991</v>
      </c>
      <c r="O31" s="72">
        <f t="shared" si="96"/>
        <v>1888482.88</v>
      </c>
      <c r="P31" s="72">
        <f t="shared" si="97"/>
        <v>0</v>
      </c>
      <c r="Q31" s="1083">
        <f t="shared" si="98"/>
        <v>1659720950.4099998</v>
      </c>
      <c r="R31" s="72">
        <f t="shared" si="99"/>
        <v>1659720950.4099998</v>
      </c>
      <c r="S31" s="72">
        <f t="shared" si="100"/>
        <v>0</v>
      </c>
      <c r="T31" s="72">
        <f t="shared" si="101"/>
        <v>0</v>
      </c>
      <c r="U31" s="73">
        <f>'Федеральные  средства  по  МО'!F32</f>
        <v>0</v>
      </c>
      <c r="V31" s="76">
        <f>U31</f>
        <v>0</v>
      </c>
      <c r="W31" s="93"/>
      <c r="X31" s="94"/>
      <c r="Y31" s="73">
        <f>'Федеральные  средства  по  МО'!G32</f>
        <v>0</v>
      </c>
      <c r="Z31" s="76">
        <f>Y31</f>
        <v>0</v>
      </c>
      <c r="AA31" s="74"/>
      <c r="AB31" s="75"/>
      <c r="AC31" s="1043">
        <f>'Федеральные  средства  по  МО'!H32</f>
        <v>0</v>
      </c>
      <c r="AD31" s="74">
        <f t="shared" si="102"/>
        <v>0</v>
      </c>
      <c r="AE31" s="69"/>
      <c r="AF31" s="74"/>
      <c r="AG31" s="1043">
        <f>'Федеральные  средства  по  МО'!I32</f>
        <v>0</v>
      </c>
      <c r="AH31" s="74">
        <f t="shared" si="103"/>
        <v>0</v>
      </c>
      <c r="AI31" s="69"/>
      <c r="AJ31" s="74"/>
      <c r="AK31" s="73">
        <f>'Федеральные  средства  по  МО'!J32</f>
        <v>0</v>
      </c>
      <c r="AL31" s="74">
        <f t="shared" si="104"/>
        <v>0</v>
      </c>
      <c r="AM31" s="69"/>
      <c r="AN31" s="74"/>
      <c r="AO31" s="73">
        <f>'Федеральные  средства  по  МО'!K32</f>
        <v>0</v>
      </c>
      <c r="AP31" s="74">
        <f t="shared" si="105"/>
        <v>0</v>
      </c>
      <c r="AQ31" s="69"/>
      <c r="AR31" s="74"/>
      <c r="AS31" s="79">
        <f>'Федеральные  средства  по  МО'!P32</f>
        <v>21770300</v>
      </c>
      <c r="AT31" s="74">
        <f>AS31</f>
        <v>21770300</v>
      </c>
      <c r="AU31" s="69"/>
      <c r="AV31" s="76"/>
      <c r="AW31" s="73">
        <f>'Федеральные  средства  по  МО'!Q32</f>
        <v>0</v>
      </c>
      <c r="AX31" s="74">
        <f>AW31</f>
        <v>0</v>
      </c>
      <c r="AY31" s="74"/>
      <c r="AZ31" s="69"/>
      <c r="BA31" s="97">
        <f>'Федеральные  средства  по  МО'!R32</f>
        <v>720202200</v>
      </c>
      <c r="BB31" s="93">
        <f t="shared" si="106"/>
        <v>720202200</v>
      </c>
      <c r="BC31" s="93"/>
      <c r="BD31" s="92"/>
      <c r="BE31" s="91">
        <f>'Федеральные  средства  по  МО'!S32</f>
        <v>139394028.31</v>
      </c>
      <c r="BF31" s="94">
        <f t="shared" si="107"/>
        <v>139394028.31</v>
      </c>
      <c r="BG31" s="74"/>
      <c r="BH31" s="75"/>
      <c r="BI31" s="78">
        <f>'Федеральные  средства  по  МО'!T32</f>
        <v>75345743.200000003</v>
      </c>
      <c r="BJ31" s="74">
        <f t="shared" si="108"/>
        <v>75345743.200000003</v>
      </c>
      <c r="BK31" s="69"/>
      <c r="BL31" s="74"/>
      <c r="BM31" s="79">
        <f>'Федеральные  средства  по  МО'!U32</f>
        <v>64798441.840000004</v>
      </c>
      <c r="BN31" s="93">
        <f t="shared" si="109"/>
        <v>64798441.840000004</v>
      </c>
      <c r="BO31" s="74"/>
      <c r="BP31" s="75"/>
      <c r="BQ31" s="73">
        <f>'Федеральные  средства  по  МО'!V32</f>
        <v>0</v>
      </c>
      <c r="BR31" s="75">
        <f t="shared" si="110"/>
        <v>0</v>
      </c>
      <c r="BS31" s="74"/>
      <c r="BT31" s="69"/>
      <c r="BU31" s="73">
        <f>'Федеральные  средства  по  МО'!W32</f>
        <v>0</v>
      </c>
      <c r="BV31" s="74">
        <f>BU31</f>
        <v>0</v>
      </c>
      <c r="BW31" s="74"/>
      <c r="BX31" s="75"/>
      <c r="BY31" s="73">
        <f>'Федеральные  средства  по  МО'!X32</f>
        <v>0</v>
      </c>
      <c r="BZ31" s="75">
        <f t="shared" si="111"/>
        <v>0</v>
      </c>
      <c r="CA31" s="74"/>
      <c r="CB31" s="69"/>
      <c r="CC31" s="73">
        <f>'Федеральные  средства  по  МО'!Y32</f>
        <v>0</v>
      </c>
      <c r="CD31" s="74">
        <f>CC31</f>
        <v>0</v>
      </c>
      <c r="CE31" s="74"/>
      <c r="CF31" s="75"/>
      <c r="CG31" s="73">
        <f>'Федеральные  средства  по  МО'!Z32</f>
        <v>844127500</v>
      </c>
      <c r="CH31" s="75">
        <f t="shared" si="112"/>
        <v>844127500</v>
      </c>
      <c r="CI31" s="69"/>
      <c r="CJ31" s="76"/>
      <c r="CK31" s="73">
        <f>'Федеральные  средства  по  МО'!AA32</f>
        <v>401718749.95999998</v>
      </c>
      <c r="CL31" s="74">
        <f>CK31</f>
        <v>401718749.95999998</v>
      </c>
      <c r="CM31" s="74"/>
      <c r="CN31" s="75"/>
      <c r="CO31" s="78">
        <f>'Федеральные  средства  по  МО'!AB32</f>
        <v>115116800</v>
      </c>
      <c r="CP31" s="74">
        <f t="shared" si="113"/>
        <v>115116800</v>
      </c>
      <c r="CQ31" s="69"/>
      <c r="CR31" s="74"/>
      <c r="CS31" s="77">
        <f>'Федеральные  средства  по  МО'!AC32</f>
        <v>104137919.87</v>
      </c>
      <c r="CT31" s="74">
        <f t="shared" si="114"/>
        <v>104137919.87</v>
      </c>
      <c r="CU31" s="69"/>
      <c r="CV31" s="74"/>
      <c r="CW31" s="78">
        <f>'Федеральные  средства  по  МО'!AD32</f>
        <v>14320379.789999999</v>
      </c>
      <c r="CX31" s="74">
        <f>CW31</f>
        <v>14320379.789999999</v>
      </c>
      <c r="CY31" s="72"/>
      <c r="CZ31" s="145"/>
      <c r="DA31" s="73">
        <f>'Федеральные  средства  по  МО'!AE32</f>
        <v>0</v>
      </c>
      <c r="DB31" s="74">
        <f>DA31</f>
        <v>0</v>
      </c>
      <c r="DC31" s="74"/>
      <c r="DD31" s="75"/>
      <c r="DE31" s="73">
        <f>'Федеральные  средства  по  МО'!AF32</f>
        <v>0</v>
      </c>
      <c r="DF31" s="74">
        <f t="shared" si="115"/>
        <v>0</v>
      </c>
      <c r="DG31" s="69"/>
      <c r="DH31" s="74"/>
      <c r="DI31" s="73">
        <f>'Федеральные  средства  по  МО'!AG32</f>
        <v>0</v>
      </c>
      <c r="DJ31" s="74">
        <f t="shared" si="116"/>
        <v>0</v>
      </c>
      <c r="DK31" s="69"/>
      <c r="DL31" s="74"/>
      <c r="DM31" s="73">
        <f>'Федеральные  средства  по  МО'!AH32</f>
        <v>0</v>
      </c>
      <c r="DN31" s="74">
        <f t="shared" si="117"/>
        <v>0</v>
      </c>
      <c r="DO31" s="69"/>
      <c r="DP31" s="74"/>
      <c r="DQ31" s="73">
        <f>'Федеральные  средства  по  МО'!AI32</f>
        <v>0</v>
      </c>
      <c r="DR31" s="74">
        <f t="shared" si="118"/>
        <v>0</v>
      </c>
      <c r="DS31" s="69"/>
      <c r="DT31" s="74"/>
      <c r="DU31" s="78">
        <f>'Федеральные  средства  по  МО'!AJ32</f>
        <v>260033228.37</v>
      </c>
      <c r="DV31" s="74">
        <f t="shared" si="119"/>
        <v>260033228.37</v>
      </c>
      <c r="DW31" s="69"/>
      <c r="DX31" s="74"/>
      <c r="DY31" s="77">
        <f>'Федеральные  средства  по  МО'!AK32</f>
        <v>140539200</v>
      </c>
      <c r="DZ31" s="74">
        <f t="shared" si="120"/>
        <v>140539200</v>
      </c>
      <c r="EA31" s="69"/>
      <c r="EB31" s="74"/>
      <c r="EC31" s="73">
        <f>'Федеральные  средства  по  МО'!AL32</f>
        <v>1404739120.51</v>
      </c>
      <c r="ED31" s="69">
        <f t="shared" si="121"/>
        <v>1404739120.51</v>
      </c>
      <c r="EE31" s="74"/>
      <c r="EF31" s="69"/>
      <c r="EG31" s="73">
        <f>'Федеральные  средства  по  МО'!AM32</f>
        <v>572135749.15999997</v>
      </c>
      <c r="EH31" s="69">
        <f t="shared" si="122"/>
        <v>572135749.15999997</v>
      </c>
      <c r="EI31" s="74"/>
      <c r="EJ31" s="69"/>
      <c r="EK31" s="78">
        <f>'Федеральные  средства  по  МО'!AV32</f>
        <v>0</v>
      </c>
      <c r="EL31" s="74">
        <f t="shared" si="123"/>
        <v>0</v>
      </c>
      <c r="EM31" s="69"/>
      <c r="EN31" s="74"/>
      <c r="EO31" s="77">
        <f>'Федеральные  средства  по  МО'!AW32</f>
        <v>0</v>
      </c>
      <c r="EP31" s="74">
        <f t="shared" si="124"/>
        <v>0</v>
      </c>
      <c r="EQ31" s="69"/>
      <c r="ER31" s="74"/>
      <c r="ES31" s="78">
        <f>'Федеральные  средства  по  МО'!AP32</f>
        <v>0</v>
      </c>
      <c r="ET31" s="74">
        <f>ES31</f>
        <v>0</v>
      </c>
      <c r="EU31" s="69"/>
      <c r="EV31" s="74"/>
      <c r="EW31" s="144">
        <f>'Федеральные  средства  по  МО'!AQ32</f>
        <v>0</v>
      </c>
      <c r="EX31" s="74">
        <f>EW31</f>
        <v>0</v>
      </c>
      <c r="EY31" s="74"/>
      <c r="EZ31" s="74"/>
      <c r="FA31" s="73">
        <f>'Федеральные  средства  по  МО'!AR32</f>
        <v>0</v>
      </c>
      <c r="FB31" s="74">
        <f>FA31</f>
        <v>0</v>
      </c>
      <c r="FC31" s="69"/>
      <c r="FD31" s="74"/>
      <c r="FE31" s="73">
        <f>'Федеральные  средства  по  МО'!AS32</f>
        <v>0</v>
      </c>
      <c r="FF31" s="74">
        <f>FE31</f>
        <v>0</v>
      </c>
      <c r="FG31" s="69"/>
      <c r="FH31" s="74"/>
      <c r="FI31" s="73">
        <f>'Федеральные  средства  по  МО'!AT32</f>
        <v>0</v>
      </c>
      <c r="FJ31" s="74">
        <f>FI31</f>
        <v>0</v>
      </c>
      <c r="FK31" s="69"/>
      <c r="FL31" s="74"/>
      <c r="FM31" s="73">
        <f>'Федеральные  средства  по  МО'!AU32</f>
        <v>0</v>
      </c>
      <c r="FN31" s="74">
        <f>FM31</f>
        <v>0</v>
      </c>
      <c r="FO31" s="74"/>
      <c r="FP31" s="74"/>
      <c r="FQ31" s="73">
        <f>'Федеральные  средства  по  МО'!AV32</f>
        <v>0</v>
      </c>
      <c r="FR31" s="74">
        <f>FQ31</f>
        <v>0</v>
      </c>
      <c r="FS31" s="72"/>
      <c r="FT31" s="146"/>
      <c r="FU31" s="73">
        <f>'Федеральные  средства  по  МО'!AW32</f>
        <v>0</v>
      </c>
      <c r="FV31" s="74">
        <f>FU31</f>
        <v>0</v>
      </c>
      <c r="FW31" s="74"/>
      <c r="FX31" s="69"/>
      <c r="FY31" s="78">
        <f>'Федеральные  средства  по  МО'!AX32</f>
        <v>1888482.88</v>
      </c>
      <c r="FZ31" s="74"/>
      <c r="GA31" s="69">
        <f t="shared" si="125"/>
        <v>1888482.88</v>
      </c>
      <c r="GB31" s="74"/>
      <c r="GC31" s="73">
        <f>'Федеральные  средства  по  МО'!AY32</f>
        <v>0</v>
      </c>
      <c r="GD31" s="69"/>
      <c r="GE31" s="74">
        <f t="shared" si="126"/>
        <v>0</v>
      </c>
      <c r="GF31" s="69"/>
      <c r="GG31" s="73">
        <f>'Федеральные  средства  по  МО'!AZ32</f>
        <v>2107198.16</v>
      </c>
      <c r="GH31" s="75">
        <f t="shared" si="127"/>
        <v>2107198.16</v>
      </c>
      <c r="GI31" s="69"/>
      <c r="GJ31" s="76"/>
      <c r="GK31" s="73">
        <f>'Федеральные  средства  по  МО'!BA32</f>
        <v>0</v>
      </c>
      <c r="GL31" s="75">
        <f t="shared" si="128"/>
        <v>0</v>
      </c>
      <c r="GM31" s="69"/>
      <c r="GN31" s="74"/>
      <c r="GO31" s="73">
        <f>'Федеральные  средства  по  МО'!BB32</f>
        <v>0</v>
      </c>
      <c r="GP31" s="74">
        <f>GO31</f>
        <v>0</v>
      </c>
      <c r="GQ31" s="72"/>
      <c r="GR31" s="146"/>
      <c r="GS31" s="73">
        <f>'Федеральные  средства  по  МО'!BC32</f>
        <v>0</v>
      </c>
      <c r="GT31" s="74">
        <f>GS31</f>
        <v>0</v>
      </c>
      <c r="GU31" s="74"/>
      <c r="GV31" s="75"/>
      <c r="GW31" s="73">
        <f>'Федеральные  средства  по  МО'!BD32</f>
        <v>0</v>
      </c>
      <c r="GX31" s="74">
        <f t="shared" si="129"/>
        <v>0</v>
      </c>
      <c r="GY31" s="76"/>
      <c r="GZ31" s="76"/>
      <c r="HA31" s="73">
        <f>'Федеральные  средства  по  МО'!BE32</f>
        <v>0</v>
      </c>
      <c r="HB31" s="74">
        <f t="shared" si="130"/>
        <v>0</v>
      </c>
      <c r="HC31" s="75"/>
      <c r="HD31" s="69"/>
      <c r="HE31" s="73">
        <f>'Федеральные  средства  по  МО'!BF32</f>
        <v>0</v>
      </c>
      <c r="HF31" s="74">
        <f>HE31</f>
        <v>0</v>
      </c>
      <c r="HG31" s="72"/>
      <c r="HH31" s="146"/>
      <c r="HI31" s="73">
        <f>'Федеральные  средства  по  МО'!BG32</f>
        <v>0</v>
      </c>
      <c r="HJ31" s="74">
        <f>HI31</f>
        <v>0</v>
      </c>
      <c r="HK31" s="74"/>
      <c r="HL31" s="75"/>
      <c r="HM31" s="73">
        <f>'Федеральные  средства  по  МО'!BH32</f>
        <v>892171.43</v>
      </c>
      <c r="HN31" s="74">
        <f>HM31</f>
        <v>892171.43</v>
      </c>
      <c r="HO31" s="72"/>
      <c r="HP31" s="146"/>
      <c r="HQ31" s="73">
        <f>'Федеральные  средства  по  МО'!BI32</f>
        <v>835026.43</v>
      </c>
      <c r="HR31" s="74">
        <f>HQ31</f>
        <v>835026.43</v>
      </c>
      <c r="HS31" s="74"/>
      <c r="HT31" s="74"/>
      <c r="HU31" s="73">
        <f>'Федеральные  средства  по  МО'!BJ32</f>
        <v>0</v>
      </c>
      <c r="HV31" s="74">
        <f>HU31</f>
        <v>0</v>
      </c>
      <c r="HW31" s="72"/>
      <c r="HX31" s="146"/>
      <c r="HY31" s="91">
        <f>'Федеральные  средства  по  МО'!BK32</f>
        <v>0</v>
      </c>
      <c r="HZ31" s="74">
        <f>HY31</f>
        <v>0</v>
      </c>
      <c r="IA31" s="145"/>
      <c r="IB31" s="72"/>
      <c r="IC31" s="73">
        <f>'Федеральные  средства  по  МО'!BL32</f>
        <v>139384500</v>
      </c>
      <c r="ID31" s="74">
        <f>IC31</f>
        <v>139384500</v>
      </c>
      <c r="IE31" s="72"/>
      <c r="IF31" s="146"/>
      <c r="IG31" s="73">
        <f>'Федеральные  средства  по  МО'!BM32</f>
        <v>50829981.100000001</v>
      </c>
      <c r="IH31" s="74">
        <f>IG31</f>
        <v>50829981.100000001</v>
      </c>
      <c r="II31" s="74"/>
      <c r="IJ31" s="69"/>
      <c r="IK31" s="73">
        <f>'Федеральные  средства  по  МО'!BN32</f>
        <v>0</v>
      </c>
      <c r="IL31" s="74">
        <f>IK31</f>
        <v>0</v>
      </c>
      <c r="IM31" s="72"/>
      <c r="IN31" s="146"/>
      <c r="IO31" s="73">
        <f>'Федеральные  средства  по  МО'!BO32</f>
        <v>0</v>
      </c>
      <c r="IP31" s="74">
        <f>IO31</f>
        <v>0</v>
      </c>
      <c r="IQ31" s="74"/>
      <c r="IR31" s="75"/>
      <c r="IS31" s="147">
        <f>'Федеральные  средства  по  МО'!BR32</f>
        <v>6625800</v>
      </c>
      <c r="IT31" s="72">
        <f t="shared" si="131"/>
        <v>6625800</v>
      </c>
      <c r="IU31" s="145"/>
      <c r="IV31" s="72"/>
      <c r="IW31" s="148">
        <f>'Федеральные  средства  по  МО'!BS32</f>
        <v>1557847.01</v>
      </c>
      <c r="IX31" s="74">
        <f t="shared" si="132"/>
        <v>1557847.01</v>
      </c>
      <c r="IY31" s="74"/>
      <c r="IZ31" s="74"/>
      <c r="JA31" s="78">
        <f>'Федеральные  средства  по  МО'!BT32</f>
        <v>0</v>
      </c>
      <c r="JB31" s="74">
        <f>'Проверочная  таблица'!RN34</f>
        <v>0</v>
      </c>
      <c r="JC31" s="69">
        <f>'Проверочная  таблица'!RT34</f>
        <v>0</v>
      </c>
      <c r="JD31" s="74">
        <f>'Проверочная  таблица'!RZ34</f>
        <v>0</v>
      </c>
      <c r="JE31" s="77">
        <f>'Федеральные  средства  по  МО'!BU32</f>
        <v>0</v>
      </c>
      <c r="JF31" s="74">
        <f>'Проверочная  таблица'!RK34</f>
        <v>0</v>
      </c>
      <c r="JG31" s="69">
        <f>'Проверочная  таблица'!RW34</f>
        <v>0</v>
      </c>
      <c r="JH31" s="74">
        <f>'Проверочная  таблица'!SC34</f>
        <v>0</v>
      </c>
      <c r="JI31" s="78">
        <f>'Федеральные  средства  по  МО'!BV32</f>
        <v>0</v>
      </c>
      <c r="JJ31" s="74">
        <f t="shared" si="133"/>
        <v>0</v>
      </c>
      <c r="JK31" s="69"/>
      <c r="JL31" s="74"/>
      <c r="JM31" s="79">
        <f>'Федеральные  средства  по  МО'!BW32</f>
        <v>0</v>
      </c>
      <c r="JN31" s="74">
        <f t="shared" si="134"/>
        <v>0</v>
      </c>
      <c r="JO31" s="69"/>
      <c r="JP31" s="74"/>
      <c r="JQ31" s="78">
        <f>'Федеральные  средства  по  МО'!BX32</f>
        <v>302186100</v>
      </c>
      <c r="JR31" s="74">
        <f t="shared" si="135"/>
        <v>302186100</v>
      </c>
      <c r="JS31" s="69"/>
      <c r="JT31" s="74"/>
      <c r="JU31" s="79">
        <f>'Федеральные  средства  по  МО'!BY32</f>
        <v>183774006.72999999</v>
      </c>
      <c r="JV31" s="74">
        <f t="shared" si="136"/>
        <v>183774006.72999999</v>
      </c>
      <c r="JW31" s="69"/>
      <c r="JX31" s="74"/>
      <c r="JY31" s="78">
        <f>'Федеральные  средства  по  МО'!BZ32</f>
        <v>0</v>
      </c>
      <c r="JZ31" s="74">
        <f t="shared" si="137"/>
        <v>0</v>
      </c>
      <c r="KA31" s="69"/>
      <c r="KB31" s="74"/>
      <c r="KC31" s="77">
        <f>'Федеральные  средства  по  МО'!CA32</f>
        <v>0</v>
      </c>
      <c r="KD31" s="74">
        <f t="shared" si="138"/>
        <v>0</v>
      </c>
      <c r="KE31" s="69"/>
      <c r="KF31" s="74"/>
      <c r="KG31" s="73">
        <f>'Федеральные  средства  по  МО'!CB32</f>
        <v>0</v>
      </c>
      <c r="KH31" s="74">
        <f>KG31</f>
        <v>0</v>
      </c>
      <c r="KI31" s="69"/>
      <c r="KJ31" s="74"/>
      <c r="KK31" s="73">
        <f>'Федеральные  средства  по  МО'!CC32</f>
        <v>0</v>
      </c>
      <c r="KL31" s="74">
        <f>KK31</f>
        <v>0</v>
      </c>
      <c r="KM31" s="74"/>
      <c r="KN31" s="75"/>
      <c r="KO31" s="78">
        <f>'Федеральные  средства  по  МО'!CD32</f>
        <v>0</v>
      </c>
      <c r="KP31" s="74">
        <f>'Проверочная  таблица'!TB34</f>
        <v>0</v>
      </c>
      <c r="KQ31" s="69">
        <f t="shared" si="139"/>
        <v>0</v>
      </c>
      <c r="KR31" s="74"/>
      <c r="KS31" s="77">
        <f>'Федеральные  средства  по  МО'!CE32</f>
        <v>0</v>
      </c>
      <c r="KT31" s="74">
        <f>'Проверочная  таблица'!TI34</f>
        <v>0</v>
      </c>
      <c r="KU31" s="69">
        <f t="shared" si="140"/>
        <v>0</v>
      </c>
      <c r="KV31" s="74"/>
      <c r="KW31" s="73">
        <f>'Федеральные  средства  по  МО'!CF32</f>
        <v>0</v>
      </c>
      <c r="KX31" s="74">
        <f>KW31</f>
        <v>0</v>
      </c>
      <c r="KY31" s="69"/>
      <c r="KZ31" s="74"/>
      <c r="LA31" s="73">
        <f>'Федеральные  средства  по  МО'!CG32</f>
        <v>0</v>
      </c>
      <c r="LB31" s="74">
        <f>LA31</f>
        <v>0</v>
      </c>
      <c r="LC31" s="74"/>
      <c r="LD31" s="74"/>
    </row>
    <row r="32" spans="1:316" ht="25.5" customHeight="1" thickBot="1" x14ac:dyDescent="0.3">
      <c r="A32" s="106" t="s">
        <v>339</v>
      </c>
      <c r="B32" s="107">
        <f t="shared" ref="B32" si="141">SUM(B30:B31)</f>
        <v>4042147311.8599992</v>
      </c>
      <c r="C32" s="108">
        <f>SUM(C30:C31)</f>
        <v>4039432595.849999</v>
      </c>
      <c r="D32" s="108">
        <f>SUM(D30:D31)</f>
        <v>2714716.01</v>
      </c>
      <c r="E32" s="108">
        <f>SUM(E30:E31)</f>
        <v>0</v>
      </c>
      <c r="F32" s="107">
        <f t="shared" ref="F32" si="142">SUM(F30:F31)</f>
        <v>1725580541.4199998</v>
      </c>
      <c r="G32" s="108">
        <f>SUM(G30:G31)</f>
        <v>1725580541.4199998</v>
      </c>
      <c r="H32" s="108">
        <f>SUM(H30:H31)</f>
        <v>0</v>
      </c>
      <c r="I32" s="108">
        <f>SUM(I30:I31)</f>
        <v>0</v>
      </c>
      <c r="J32" s="54"/>
      <c r="K32" s="55">
        <f>M32-'Федеральные  средства  по  МО'!N33-'Федеральные  средства  по  МО'!D33</f>
        <v>-9.5367431640625E-7</v>
      </c>
      <c r="L32" s="55">
        <f>Q32-'Федеральные  средства  по  МО'!O33-'Федеральные  средства  по  МО'!E33</f>
        <v>0</v>
      </c>
      <c r="M32" s="107">
        <f t="shared" ref="M32" si="143">SUM(M30:M31)</f>
        <v>4079906311.8599992</v>
      </c>
      <c r="N32" s="108">
        <f t="shared" ref="N32:BP32" si="144">SUM(N30:N31)</f>
        <v>4077191595.849999</v>
      </c>
      <c r="O32" s="108">
        <f t="shared" si="144"/>
        <v>2714716.01</v>
      </c>
      <c r="P32" s="108">
        <f t="shared" si="144"/>
        <v>0</v>
      </c>
      <c r="Q32" s="107">
        <f t="shared" si="144"/>
        <v>1725580541.4199998</v>
      </c>
      <c r="R32" s="108">
        <f t="shared" si="144"/>
        <v>1725580541.4199998</v>
      </c>
      <c r="S32" s="108">
        <f t="shared" si="144"/>
        <v>0</v>
      </c>
      <c r="T32" s="108">
        <f t="shared" si="144"/>
        <v>0</v>
      </c>
      <c r="U32" s="141">
        <f t="shared" si="144"/>
        <v>0</v>
      </c>
      <c r="V32" s="149">
        <f t="shared" si="144"/>
        <v>0</v>
      </c>
      <c r="W32" s="150">
        <f t="shared" si="144"/>
        <v>0</v>
      </c>
      <c r="X32" s="151">
        <f t="shared" si="144"/>
        <v>0</v>
      </c>
      <c r="Y32" s="134">
        <f t="shared" si="144"/>
        <v>0</v>
      </c>
      <c r="Z32" s="149">
        <f t="shared" si="144"/>
        <v>0</v>
      </c>
      <c r="AA32" s="150">
        <f t="shared" si="144"/>
        <v>0</v>
      </c>
      <c r="AB32" s="151">
        <f t="shared" si="144"/>
        <v>0</v>
      </c>
      <c r="AC32" s="1069">
        <f t="shared" ref="AC32:AJ32" si="145">SUM(AC30:AC31)</f>
        <v>37759000</v>
      </c>
      <c r="AD32" s="108">
        <f t="shared" si="145"/>
        <v>37759000</v>
      </c>
      <c r="AE32" s="152">
        <f t="shared" si="145"/>
        <v>0</v>
      </c>
      <c r="AF32" s="108">
        <f t="shared" si="145"/>
        <v>0</v>
      </c>
      <c r="AG32" s="1073">
        <f t="shared" si="145"/>
        <v>0</v>
      </c>
      <c r="AH32" s="108">
        <f t="shared" si="145"/>
        <v>0</v>
      </c>
      <c r="AI32" s="152">
        <f t="shared" si="145"/>
        <v>0</v>
      </c>
      <c r="AJ32" s="108">
        <f t="shared" si="145"/>
        <v>0</v>
      </c>
      <c r="AK32" s="141">
        <f t="shared" si="144"/>
        <v>0</v>
      </c>
      <c r="AL32" s="108">
        <f t="shared" si="144"/>
        <v>0</v>
      </c>
      <c r="AM32" s="152">
        <f t="shared" si="144"/>
        <v>0</v>
      </c>
      <c r="AN32" s="108">
        <f t="shared" si="144"/>
        <v>0</v>
      </c>
      <c r="AO32" s="136">
        <f t="shared" si="144"/>
        <v>0</v>
      </c>
      <c r="AP32" s="108">
        <f t="shared" si="144"/>
        <v>0</v>
      </c>
      <c r="AQ32" s="152">
        <f t="shared" si="144"/>
        <v>0</v>
      </c>
      <c r="AR32" s="108">
        <f t="shared" si="144"/>
        <v>0</v>
      </c>
      <c r="AS32" s="136">
        <f t="shared" si="144"/>
        <v>21770300</v>
      </c>
      <c r="AT32" s="149">
        <f t="shared" si="144"/>
        <v>21770300</v>
      </c>
      <c r="AU32" s="150">
        <f t="shared" si="144"/>
        <v>0</v>
      </c>
      <c r="AV32" s="151">
        <f t="shared" si="144"/>
        <v>0</v>
      </c>
      <c r="AW32" s="134">
        <f t="shared" si="144"/>
        <v>0</v>
      </c>
      <c r="AX32" s="149">
        <f t="shared" si="144"/>
        <v>0</v>
      </c>
      <c r="AY32" s="150">
        <f t="shared" si="144"/>
        <v>0</v>
      </c>
      <c r="AZ32" s="152">
        <f t="shared" si="144"/>
        <v>0</v>
      </c>
      <c r="BA32" s="141">
        <f t="shared" si="144"/>
        <v>720202200</v>
      </c>
      <c r="BB32" s="149">
        <f t="shared" si="144"/>
        <v>720202200</v>
      </c>
      <c r="BC32" s="150">
        <f t="shared" si="144"/>
        <v>0</v>
      </c>
      <c r="BD32" s="151">
        <f t="shared" si="144"/>
        <v>0</v>
      </c>
      <c r="BE32" s="134">
        <f t="shared" si="144"/>
        <v>139394028.31</v>
      </c>
      <c r="BF32" s="149">
        <f t="shared" si="144"/>
        <v>139394028.31</v>
      </c>
      <c r="BG32" s="150">
        <f t="shared" si="144"/>
        <v>0</v>
      </c>
      <c r="BH32" s="151">
        <f t="shared" si="144"/>
        <v>0</v>
      </c>
      <c r="BI32" s="141">
        <f t="shared" si="144"/>
        <v>75345743.200000003</v>
      </c>
      <c r="BJ32" s="150">
        <f t="shared" si="144"/>
        <v>75345743.200000003</v>
      </c>
      <c r="BK32" s="152">
        <f t="shared" si="144"/>
        <v>0</v>
      </c>
      <c r="BL32" s="108">
        <f t="shared" si="144"/>
        <v>0</v>
      </c>
      <c r="BM32" s="153">
        <f t="shared" si="144"/>
        <v>64798441.840000004</v>
      </c>
      <c r="BN32" s="150">
        <f t="shared" si="144"/>
        <v>64798441.840000004</v>
      </c>
      <c r="BO32" s="150">
        <f t="shared" si="144"/>
        <v>0</v>
      </c>
      <c r="BP32" s="151">
        <f t="shared" si="144"/>
        <v>0</v>
      </c>
      <c r="BQ32" s="107">
        <f>SUM(BQ30:BQ31)</f>
        <v>0</v>
      </c>
      <c r="BR32" s="150">
        <f t="shared" ref="BR32:BT32" si="146">SUM(BR30:BR31)</f>
        <v>0</v>
      </c>
      <c r="BS32" s="150">
        <f t="shared" si="146"/>
        <v>0</v>
      </c>
      <c r="BT32" s="151">
        <f t="shared" si="146"/>
        <v>0</v>
      </c>
      <c r="BU32" s="141">
        <f>SUM(BU30:BU31)</f>
        <v>0</v>
      </c>
      <c r="BV32" s="150">
        <f t="shared" ref="BV32:CV32" si="147">SUM(BV30:BV31)</f>
        <v>0</v>
      </c>
      <c r="BW32" s="150">
        <f t="shared" si="147"/>
        <v>0</v>
      </c>
      <c r="BX32" s="151">
        <f t="shared" si="147"/>
        <v>0</v>
      </c>
      <c r="BY32" s="154">
        <f t="shared" si="147"/>
        <v>0</v>
      </c>
      <c r="BZ32" s="150">
        <f t="shared" si="147"/>
        <v>0</v>
      </c>
      <c r="CA32" s="150">
        <f t="shared" si="147"/>
        <v>0</v>
      </c>
      <c r="CB32" s="151">
        <f t="shared" si="147"/>
        <v>0</v>
      </c>
      <c r="CC32" s="107">
        <f t="shared" si="147"/>
        <v>0</v>
      </c>
      <c r="CD32" s="150">
        <f t="shared" si="147"/>
        <v>0</v>
      </c>
      <c r="CE32" s="150">
        <f t="shared" si="147"/>
        <v>0</v>
      </c>
      <c r="CF32" s="151">
        <f t="shared" si="147"/>
        <v>0</v>
      </c>
      <c r="CG32" s="154">
        <f t="shared" si="147"/>
        <v>844127500</v>
      </c>
      <c r="CH32" s="149">
        <f t="shared" si="147"/>
        <v>844127500</v>
      </c>
      <c r="CI32" s="150">
        <f t="shared" si="147"/>
        <v>0</v>
      </c>
      <c r="CJ32" s="151">
        <f t="shared" si="147"/>
        <v>0</v>
      </c>
      <c r="CK32" s="134">
        <f t="shared" si="147"/>
        <v>401718749.95999998</v>
      </c>
      <c r="CL32" s="149">
        <f t="shared" si="147"/>
        <v>401718749.95999998</v>
      </c>
      <c r="CM32" s="150">
        <f t="shared" si="147"/>
        <v>0</v>
      </c>
      <c r="CN32" s="151">
        <f t="shared" si="147"/>
        <v>0</v>
      </c>
      <c r="CO32" s="154">
        <f t="shared" si="147"/>
        <v>115116800</v>
      </c>
      <c r="CP32" s="108">
        <f t="shared" si="147"/>
        <v>115116800</v>
      </c>
      <c r="CQ32" s="152">
        <f t="shared" si="147"/>
        <v>0</v>
      </c>
      <c r="CR32" s="108">
        <f t="shared" si="147"/>
        <v>0</v>
      </c>
      <c r="CS32" s="136">
        <f t="shared" si="147"/>
        <v>104137919.87</v>
      </c>
      <c r="CT32" s="108">
        <f t="shared" si="147"/>
        <v>104137919.87</v>
      </c>
      <c r="CU32" s="152">
        <f t="shared" si="147"/>
        <v>0</v>
      </c>
      <c r="CV32" s="108">
        <f t="shared" si="147"/>
        <v>0</v>
      </c>
      <c r="CW32" s="154">
        <f>SUM(CW30:CW31)</f>
        <v>14320379.789999999</v>
      </c>
      <c r="CX32" s="149">
        <f t="shared" ref="CX32:CZ32" si="148">SUM(CX30:CX31)</f>
        <v>14320379.789999999</v>
      </c>
      <c r="CY32" s="150">
        <f t="shared" si="148"/>
        <v>0</v>
      </c>
      <c r="CZ32" s="151">
        <f t="shared" si="148"/>
        <v>0</v>
      </c>
      <c r="DA32" s="134">
        <f>SUM(DA30:DA31)</f>
        <v>0</v>
      </c>
      <c r="DB32" s="149">
        <f t="shared" ref="DB32:FM32" si="149">SUM(DB30:DB31)</f>
        <v>0</v>
      </c>
      <c r="DC32" s="150">
        <f t="shared" si="149"/>
        <v>0</v>
      </c>
      <c r="DD32" s="151">
        <f t="shared" si="149"/>
        <v>0</v>
      </c>
      <c r="DE32" s="154">
        <f t="shared" si="149"/>
        <v>0</v>
      </c>
      <c r="DF32" s="150">
        <f t="shared" si="149"/>
        <v>0</v>
      </c>
      <c r="DG32" s="152">
        <f t="shared" si="149"/>
        <v>0</v>
      </c>
      <c r="DH32" s="150">
        <f t="shared" si="149"/>
        <v>0</v>
      </c>
      <c r="DI32" s="136">
        <f t="shared" si="149"/>
        <v>0</v>
      </c>
      <c r="DJ32" s="150">
        <f t="shared" si="149"/>
        <v>0</v>
      </c>
      <c r="DK32" s="152">
        <f t="shared" si="149"/>
        <v>0</v>
      </c>
      <c r="DL32" s="150">
        <f t="shared" si="149"/>
        <v>0</v>
      </c>
      <c r="DM32" s="154">
        <f t="shared" si="149"/>
        <v>0</v>
      </c>
      <c r="DN32" s="150">
        <f t="shared" si="149"/>
        <v>0</v>
      </c>
      <c r="DO32" s="152">
        <f t="shared" si="149"/>
        <v>0</v>
      </c>
      <c r="DP32" s="150">
        <f t="shared" si="149"/>
        <v>0</v>
      </c>
      <c r="DQ32" s="136">
        <f t="shared" si="149"/>
        <v>0</v>
      </c>
      <c r="DR32" s="150">
        <f t="shared" si="149"/>
        <v>0</v>
      </c>
      <c r="DS32" s="152">
        <f t="shared" si="149"/>
        <v>0</v>
      </c>
      <c r="DT32" s="150">
        <f t="shared" si="149"/>
        <v>0</v>
      </c>
      <c r="DU32" s="154">
        <f t="shared" si="149"/>
        <v>260033228.37</v>
      </c>
      <c r="DV32" s="150">
        <f t="shared" si="149"/>
        <v>260033228.37</v>
      </c>
      <c r="DW32" s="152">
        <f t="shared" si="149"/>
        <v>0</v>
      </c>
      <c r="DX32" s="150">
        <f t="shared" si="149"/>
        <v>0</v>
      </c>
      <c r="DY32" s="136">
        <f t="shared" si="149"/>
        <v>140539200</v>
      </c>
      <c r="DZ32" s="150">
        <f t="shared" si="149"/>
        <v>140539200</v>
      </c>
      <c r="EA32" s="152">
        <f t="shared" si="149"/>
        <v>0</v>
      </c>
      <c r="EB32" s="150">
        <f t="shared" si="149"/>
        <v>0</v>
      </c>
      <c r="EC32" s="154">
        <f t="shared" si="149"/>
        <v>1404739120.51</v>
      </c>
      <c r="ED32" s="150">
        <f t="shared" si="149"/>
        <v>1404739120.51</v>
      </c>
      <c r="EE32" s="152">
        <f t="shared" si="149"/>
        <v>0</v>
      </c>
      <c r="EF32" s="150">
        <f t="shared" si="149"/>
        <v>0</v>
      </c>
      <c r="EG32" s="136">
        <f t="shared" si="149"/>
        <v>572135749.15999997</v>
      </c>
      <c r="EH32" s="150">
        <f t="shared" si="149"/>
        <v>572135749.15999997</v>
      </c>
      <c r="EI32" s="152">
        <f t="shared" si="149"/>
        <v>0</v>
      </c>
      <c r="EJ32" s="150">
        <f t="shared" si="149"/>
        <v>0</v>
      </c>
      <c r="EK32" s="154">
        <f t="shared" si="149"/>
        <v>0</v>
      </c>
      <c r="EL32" s="150">
        <f t="shared" si="149"/>
        <v>0</v>
      </c>
      <c r="EM32" s="152">
        <f t="shared" si="149"/>
        <v>0</v>
      </c>
      <c r="EN32" s="150">
        <f t="shared" si="149"/>
        <v>0</v>
      </c>
      <c r="EO32" s="136">
        <f t="shared" si="149"/>
        <v>0</v>
      </c>
      <c r="EP32" s="150">
        <f t="shared" si="149"/>
        <v>0</v>
      </c>
      <c r="EQ32" s="152">
        <f t="shared" si="149"/>
        <v>0</v>
      </c>
      <c r="ER32" s="150">
        <f t="shared" si="149"/>
        <v>0</v>
      </c>
      <c r="ES32" s="154">
        <f t="shared" si="149"/>
        <v>0</v>
      </c>
      <c r="ET32" s="150">
        <f t="shared" si="149"/>
        <v>0</v>
      </c>
      <c r="EU32" s="151">
        <f t="shared" si="149"/>
        <v>0</v>
      </c>
      <c r="EV32" s="151">
        <f t="shared" si="149"/>
        <v>0</v>
      </c>
      <c r="EW32" s="107">
        <f t="shared" si="149"/>
        <v>0</v>
      </c>
      <c r="EX32" s="149">
        <f t="shared" si="149"/>
        <v>0</v>
      </c>
      <c r="EY32" s="150">
        <f t="shared" si="149"/>
        <v>0</v>
      </c>
      <c r="EZ32" s="150">
        <f t="shared" si="149"/>
        <v>0</v>
      </c>
      <c r="FA32" s="155">
        <f t="shared" si="149"/>
        <v>0</v>
      </c>
      <c r="FB32" s="150">
        <f t="shared" si="149"/>
        <v>0</v>
      </c>
      <c r="FC32" s="151">
        <f t="shared" si="149"/>
        <v>0</v>
      </c>
      <c r="FD32" s="151">
        <f t="shared" si="149"/>
        <v>0</v>
      </c>
      <c r="FE32" s="107">
        <f t="shared" si="149"/>
        <v>0</v>
      </c>
      <c r="FF32" s="150">
        <f t="shared" si="149"/>
        <v>0</v>
      </c>
      <c r="FG32" s="151">
        <f t="shared" si="149"/>
        <v>0</v>
      </c>
      <c r="FH32" s="151">
        <f t="shared" si="149"/>
        <v>0</v>
      </c>
      <c r="FI32" s="107">
        <f t="shared" si="149"/>
        <v>2488300</v>
      </c>
      <c r="FJ32" s="149">
        <f t="shared" si="149"/>
        <v>2488300</v>
      </c>
      <c r="FK32" s="150">
        <f t="shared" si="149"/>
        <v>0</v>
      </c>
      <c r="FL32" s="151">
        <f t="shared" si="149"/>
        <v>0</v>
      </c>
      <c r="FM32" s="107">
        <f t="shared" si="149"/>
        <v>2488299.9900000002</v>
      </c>
      <c r="FN32" s="149">
        <f t="shared" ref="FN32:IL32" si="150">SUM(FN30:FN31)</f>
        <v>2488299.9900000002</v>
      </c>
      <c r="FO32" s="150">
        <f t="shared" si="150"/>
        <v>0</v>
      </c>
      <c r="FP32" s="150">
        <f t="shared" si="150"/>
        <v>0</v>
      </c>
      <c r="FQ32" s="156">
        <f t="shared" si="150"/>
        <v>0</v>
      </c>
      <c r="FR32" s="149">
        <f t="shared" si="150"/>
        <v>0</v>
      </c>
      <c r="FS32" s="150">
        <f t="shared" si="150"/>
        <v>0</v>
      </c>
      <c r="FT32" s="151">
        <f t="shared" si="150"/>
        <v>0</v>
      </c>
      <c r="FU32" s="107">
        <f t="shared" si="150"/>
        <v>0</v>
      </c>
      <c r="FV32" s="149">
        <f t="shared" si="150"/>
        <v>0</v>
      </c>
      <c r="FW32" s="150">
        <f t="shared" si="150"/>
        <v>0</v>
      </c>
      <c r="FX32" s="152">
        <f t="shared" si="150"/>
        <v>0</v>
      </c>
      <c r="FY32" s="154">
        <f t="shared" si="150"/>
        <v>2714716.01</v>
      </c>
      <c r="FZ32" s="149">
        <f t="shared" si="150"/>
        <v>0</v>
      </c>
      <c r="GA32" s="150">
        <f t="shared" si="150"/>
        <v>2714716.01</v>
      </c>
      <c r="GB32" s="151">
        <f t="shared" si="150"/>
        <v>0</v>
      </c>
      <c r="GC32" s="107">
        <f t="shared" si="150"/>
        <v>0</v>
      </c>
      <c r="GD32" s="149">
        <f t="shared" si="150"/>
        <v>0</v>
      </c>
      <c r="GE32" s="150">
        <f t="shared" si="150"/>
        <v>0</v>
      </c>
      <c r="GF32" s="152">
        <f t="shared" si="150"/>
        <v>0</v>
      </c>
      <c r="GG32" s="107">
        <f t="shared" si="150"/>
        <v>2142343.06</v>
      </c>
      <c r="GH32" s="151">
        <f t="shared" si="150"/>
        <v>2142343.06</v>
      </c>
      <c r="GI32" s="152">
        <f t="shared" si="150"/>
        <v>0</v>
      </c>
      <c r="GJ32" s="150">
        <f t="shared" si="150"/>
        <v>0</v>
      </c>
      <c r="GK32" s="107">
        <f t="shared" si="150"/>
        <v>0</v>
      </c>
      <c r="GL32" s="150">
        <f t="shared" si="150"/>
        <v>0</v>
      </c>
      <c r="GM32" s="152">
        <f t="shared" si="150"/>
        <v>0</v>
      </c>
      <c r="GN32" s="150">
        <f t="shared" si="150"/>
        <v>0</v>
      </c>
      <c r="GO32" s="154">
        <f t="shared" si="150"/>
        <v>0</v>
      </c>
      <c r="GP32" s="149">
        <f t="shared" si="150"/>
        <v>0</v>
      </c>
      <c r="GQ32" s="150">
        <f t="shared" si="150"/>
        <v>0</v>
      </c>
      <c r="GR32" s="151">
        <f t="shared" si="150"/>
        <v>0</v>
      </c>
      <c r="GS32" s="107">
        <f t="shared" si="150"/>
        <v>0</v>
      </c>
      <c r="GT32" s="149">
        <f t="shared" si="150"/>
        <v>0</v>
      </c>
      <c r="GU32" s="150">
        <f t="shared" si="150"/>
        <v>0</v>
      </c>
      <c r="GV32" s="151">
        <f t="shared" si="150"/>
        <v>0</v>
      </c>
      <c r="GW32" s="154">
        <f>SUM(GW30:GW31)</f>
        <v>0</v>
      </c>
      <c r="GX32" s="149">
        <f t="shared" ref="GX32:GZ32" si="151">SUM(GX30:GX31)</f>
        <v>0</v>
      </c>
      <c r="GY32" s="150">
        <f t="shared" si="151"/>
        <v>0</v>
      </c>
      <c r="GZ32" s="151">
        <f t="shared" si="151"/>
        <v>0</v>
      </c>
      <c r="HA32" s="134">
        <f>SUM(HA30:HA31)</f>
        <v>0</v>
      </c>
      <c r="HB32" s="150">
        <f t="shared" ref="HB32" si="152">SUM(HB30:HB31)</f>
        <v>0</v>
      </c>
      <c r="HC32" s="151">
        <f>SUM(HC30:HC31)</f>
        <v>0</v>
      </c>
      <c r="HD32" s="152">
        <f>SUM(HD30:HD31)</f>
        <v>0</v>
      </c>
      <c r="HE32" s="107">
        <f t="shared" ref="HE32:HT32" si="153">SUM(HE30:HE31)</f>
        <v>0</v>
      </c>
      <c r="HF32" s="149">
        <f t="shared" si="153"/>
        <v>0</v>
      </c>
      <c r="HG32" s="150">
        <f t="shared" si="153"/>
        <v>0</v>
      </c>
      <c r="HH32" s="151">
        <f t="shared" si="153"/>
        <v>0</v>
      </c>
      <c r="HI32" s="107">
        <f t="shared" si="153"/>
        <v>0</v>
      </c>
      <c r="HJ32" s="149">
        <f t="shared" si="153"/>
        <v>0</v>
      </c>
      <c r="HK32" s="150">
        <f t="shared" si="153"/>
        <v>0</v>
      </c>
      <c r="HL32" s="151">
        <f t="shared" si="153"/>
        <v>0</v>
      </c>
      <c r="HM32" s="107">
        <f t="shared" si="153"/>
        <v>1221580.92</v>
      </c>
      <c r="HN32" s="149">
        <f t="shared" si="153"/>
        <v>1221580.92</v>
      </c>
      <c r="HO32" s="150">
        <f t="shared" si="153"/>
        <v>0</v>
      </c>
      <c r="HP32" s="151">
        <f t="shared" si="153"/>
        <v>0</v>
      </c>
      <c r="HQ32" s="134">
        <f t="shared" si="153"/>
        <v>835026.43</v>
      </c>
      <c r="HR32" s="149">
        <f t="shared" si="153"/>
        <v>835026.43</v>
      </c>
      <c r="HS32" s="150">
        <f t="shared" si="153"/>
        <v>0</v>
      </c>
      <c r="HT32" s="150">
        <f t="shared" si="153"/>
        <v>0</v>
      </c>
      <c r="HU32" s="154">
        <f t="shared" si="150"/>
        <v>0</v>
      </c>
      <c r="HV32" s="149">
        <f t="shared" si="150"/>
        <v>0</v>
      </c>
      <c r="HW32" s="150">
        <f t="shared" si="150"/>
        <v>0</v>
      </c>
      <c r="HX32" s="151">
        <f t="shared" si="150"/>
        <v>0</v>
      </c>
      <c r="HY32" s="141">
        <f t="shared" si="150"/>
        <v>0</v>
      </c>
      <c r="HZ32" s="108">
        <f t="shared" si="150"/>
        <v>0</v>
      </c>
      <c r="IA32" s="152">
        <f t="shared" si="150"/>
        <v>0</v>
      </c>
      <c r="IB32" s="108">
        <f t="shared" si="150"/>
        <v>0</v>
      </c>
      <c r="IC32" s="154">
        <f t="shared" si="150"/>
        <v>168384500</v>
      </c>
      <c r="ID32" s="149">
        <f t="shared" si="150"/>
        <v>168384500</v>
      </c>
      <c r="IE32" s="150">
        <f t="shared" si="150"/>
        <v>0</v>
      </c>
      <c r="IF32" s="151">
        <f t="shared" si="150"/>
        <v>0</v>
      </c>
      <c r="IG32" s="134">
        <f t="shared" si="150"/>
        <v>56707126.899999999</v>
      </c>
      <c r="IH32" s="149">
        <f t="shared" si="150"/>
        <v>56707126.899999999</v>
      </c>
      <c r="II32" s="150">
        <f t="shared" si="150"/>
        <v>0</v>
      </c>
      <c r="IJ32" s="152">
        <f t="shared" si="150"/>
        <v>0</v>
      </c>
      <c r="IK32" s="107">
        <f t="shared" si="150"/>
        <v>0</v>
      </c>
      <c r="IL32" s="149">
        <f t="shared" si="150"/>
        <v>0</v>
      </c>
      <c r="IM32" s="150">
        <f t="shared" ref="IM32:KX32" si="154">SUM(IM30:IM31)</f>
        <v>0</v>
      </c>
      <c r="IN32" s="151">
        <f t="shared" si="154"/>
        <v>0</v>
      </c>
      <c r="IO32" s="134">
        <f t="shared" si="154"/>
        <v>0</v>
      </c>
      <c r="IP32" s="149">
        <f t="shared" si="154"/>
        <v>0</v>
      </c>
      <c r="IQ32" s="150">
        <f t="shared" si="154"/>
        <v>0</v>
      </c>
      <c r="IR32" s="151">
        <f t="shared" si="154"/>
        <v>0</v>
      </c>
      <c r="IS32" s="154">
        <f t="shared" si="154"/>
        <v>6625800</v>
      </c>
      <c r="IT32" s="108">
        <f t="shared" si="154"/>
        <v>6625800</v>
      </c>
      <c r="IU32" s="152">
        <f t="shared" si="154"/>
        <v>0</v>
      </c>
      <c r="IV32" s="108">
        <f t="shared" si="154"/>
        <v>0</v>
      </c>
      <c r="IW32" s="156">
        <f t="shared" si="154"/>
        <v>1557847.01</v>
      </c>
      <c r="IX32" s="150">
        <f t="shared" si="154"/>
        <v>1557847.01</v>
      </c>
      <c r="IY32" s="108">
        <f t="shared" si="154"/>
        <v>0</v>
      </c>
      <c r="IZ32" s="150">
        <f t="shared" si="154"/>
        <v>0</v>
      </c>
      <c r="JA32" s="154">
        <f t="shared" si="154"/>
        <v>0</v>
      </c>
      <c r="JB32" s="108">
        <f t="shared" si="154"/>
        <v>0</v>
      </c>
      <c r="JC32" s="152">
        <f t="shared" si="154"/>
        <v>0</v>
      </c>
      <c r="JD32" s="108">
        <f t="shared" si="154"/>
        <v>0</v>
      </c>
      <c r="JE32" s="136">
        <f t="shared" si="154"/>
        <v>0</v>
      </c>
      <c r="JF32" s="150">
        <f t="shared" si="154"/>
        <v>0</v>
      </c>
      <c r="JG32" s="152">
        <f t="shared" si="154"/>
        <v>0</v>
      </c>
      <c r="JH32" s="150">
        <f t="shared" si="154"/>
        <v>0</v>
      </c>
      <c r="JI32" s="154">
        <f t="shared" si="154"/>
        <v>0</v>
      </c>
      <c r="JJ32" s="108">
        <f t="shared" si="154"/>
        <v>0</v>
      </c>
      <c r="JK32" s="152">
        <f t="shared" si="154"/>
        <v>0</v>
      </c>
      <c r="JL32" s="108">
        <f t="shared" si="154"/>
        <v>0</v>
      </c>
      <c r="JM32" s="136">
        <f t="shared" si="154"/>
        <v>0</v>
      </c>
      <c r="JN32" s="150">
        <f t="shared" si="154"/>
        <v>0</v>
      </c>
      <c r="JO32" s="152">
        <f t="shared" si="154"/>
        <v>0</v>
      </c>
      <c r="JP32" s="150">
        <f t="shared" si="154"/>
        <v>0</v>
      </c>
      <c r="JQ32" s="154">
        <f t="shared" si="154"/>
        <v>402914800</v>
      </c>
      <c r="JR32" s="108">
        <f t="shared" si="154"/>
        <v>402914800</v>
      </c>
      <c r="JS32" s="152">
        <f t="shared" si="154"/>
        <v>0</v>
      </c>
      <c r="JT32" s="108">
        <f t="shared" si="154"/>
        <v>0</v>
      </c>
      <c r="JU32" s="136">
        <f t="shared" si="154"/>
        <v>241268151.94999999</v>
      </c>
      <c r="JV32" s="150">
        <f t="shared" si="154"/>
        <v>241268151.94999999</v>
      </c>
      <c r="JW32" s="152">
        <f t="shared" si="154"/>
        <v>0</v>
      </c>
      <c r="JX32" s="150">
        <f t="shared" si="154"/>
        <v>0</v>
      </c>
      <c r="JY32" s="107">
        <f t="shared" si="154"/>
        <v>0</v>
      </c>
      <c r="JZ32" s="149">
        <f t="shared" si="154"/>
        <v>0</v>
      </c>
      <c r="KA32" s="149">
        <f t="shared" si="154"/>
        <v>0</v>
      </c>
      <c r="KB32" s="150">
        <f t="shared" si="154"/>
        <v>0</v>
      </c>
      <c r="KC32" s="136">
        <f t="shared" si="154"/>
        <v>0</v>
      </c>
      <c r="KD32" s="108">
        <f t="shared" si="154"/>
        <v>0</v>
      </c>
      <c r="KE32" s="152">
        <f t="shared" si="154"/>
        <v>0</v>
      </c>
      <c r="KF32" s="108">
        <f t="shared" si="154"/>
        <v>0</v>
      </c>
      <c r="KG32" s="154">
        <f t="shared" si="154"/>
        <v>0</v>
      </c>
      <c r="KH32" s="150">
        <f t="shared" si="154"/>
        <v>0</v>
      </c>
      <c r="KI32" s="152">
        <f t="shared" si="154"/>
        <v>0</v>
      </c>
      <c r="KJ32" s="150">
        <f t="shared" si="154"/>
        <v>0</v>
      </c>
      <c r="KK32" s="155">
        <f t="shared" si="154"/>
        <v>0</v>
      </c>
      <c r="KL32" s="149">
        <f t="shared" si="154"/>
        <v>0</v>
      </c>
      <c r="KM32" s="150">
        <f t="shared" si="154"/>
        <v>0</v>
      </c>
      <c r="KN32" s="151">
        <f t="shared" si="154"/>
        <v>0</v>
      </c>
      <c r="KO32" s="154">
        <f t="shared" si="154"/>
        <v>0</v>
      </c>
      <c r="KP32" s="150">
        <f t="shared" si="154"/>
        <v>0</v>
      </c>
      <c r="KQ32" s="152">
        <f t="shared" si="154"/>
        <v>0</v>
      </c>
      <c r="KR32" s="150">
        <f t="shared" si="154"/>
        <v>0</v>
      </c>
      <c r="KS32" s="156">
        <f t="shared" si="154"/>
        <v>0</v>
      </c>
      <c r="KT32" s="150">
        <f t="shared" si="154"/>
        <v>0</v>
      </c>
      <c r="KU32" s="152">
        <f t="shared" si="154"/>
        <v>0</v>
      </c>
      <c r="KV32" s="150">
        <f t="shared" si="154"/>
        <v>0</v>
      </c>
      <c r="KW32" s="154">
        <f t="shared" si="154"/>
        <v>0</v>
      </c>
      <c r="KX32" s="149">
        <f t="shared" si="154"/>
        <v>0</v>
      </c>
      <c r="KY32" s="150">
        <f t="shared" ref="KY32:LD32" si="155">SUM(KY30:KY31)</f>
        <v>0</v>
      </c>
      <c r="KZ32" s="151">
        <f t="shared" si="155"/>
        <v>0</v>
      </c>
      <c r="LA32" s="107">
        <f t="shared" si="155"/>
        <v>0</v>
      </c>
      <c r="LB32" s="149">
        <f t="shared" si="155"/>
        <v>0</v>
      </c>
      <c r="LC32" s="150">
        <f t="shared" si="155"/>
        <v>0</v>
      </c>
      <c r="LD32" s="150">
        <f t="shared" si="155"/>
        <v>0</v>
      </c>
    </row>
    <row r="33" spans="1:316" ht="25.5" customHeight="1" x14ac:dyDescent="0.25">
      <c r="A33" s="157"/>
      <c r="B33" s="158"/>
      <c r="C33" s="159"/>
      <c r="D33" s="159"/>
      <c r="E33" s="159"/>
      <c r="F33" s="158"/>
      <c r="G33" s="159"/>
      <c r="H33" s="159"/>
      <c r="I33" s="159"/>
      <c r="J33" s="54"/>
      <c r="K33" s="55">
        <f>M33-'Федеральные  средства  по  МО'!N34-'Федеральные  средства  по  МО'!D34</f>
        <v>0</v>
      </c>
      <c r="L33" s="55">
        <f>Q33-'Федеральные  средства  по  МО'!O34-'Федеральные  средства  по  МО'!E34</f>
        <v>0</v>
      </c>
      <c r="M33" s="158"/>
      <c r="N33" s="159"/>
      <c r="O33" s="159"/>
      <c r="P33" s="159"/>
      <c r="Q33" s="158"/>
      <c r="R33" s="159"/>
      <c r="S33" s="159"/>
      <c r="T33" s="159"/>
      <c r="U33" s="160"/>
      <c r="V33" s="161"/>
      <c r="W33" s="159"/>
      <c r="X33" s="162"/>
      <c r="Y33" s="158"/>
      <c r="Z33" s="161"/>
      <c r="AA33" s="159"/>
      <c r="AB33" s="162"/>
      <c r="AC33" s="160"/>
      <c r="AD33" s="161"/>
      <c r="AE33" s="159"/>
      <c r="AF33" s="162"/>
      <c r="AG33" s="1074"/>
      <c r="AH33" s="161"/>
      <c r="AI33" s="159"/>
      <c r="AJ33" s="159"/>
      <c r="AK33" s="160"/>
      <c r="AL33" s="161"/>
      <c r="AM33" s="159"/>
      <c r="AN33" s="162"/>
      <c r="AO33" s="158"/>
      <c r="AP33" s="161"/>
      <c r="AQ33" s="159"/>
      <c r="AR33" s="159"/>
      <c r="AS33" s="163"/>
      <c r="AT33" s="161"/>
      <c r="AU33" s="159"/>
      <c r="AV33" s="162"/>
      <c r="AW33" s="158"/>
      <c r="AX33" s="161"/>
      <c r="AY33" s="159"/>
      <c r="AZ33" s="164"/>
      <c r="BA33" s="160"/>
      <c r="BB33" s="161"/>
      <c r="BC33" s="159"/>
      <c r="BD33" s="162"/>
      <c r="BE33" s="158"/>
      <c r="BF33" s="161"/>
      <c r="BG33" s="159"/>
      <c r="BH33" s="162"/>
      <c r="BI33" s="160"/>
      <c r="BJ33" s="159"/>
      <c r="BK33" s="162"/>
      <c r="BL33" s="162"/>
      <c r="BM33" s="158"/>
      <c r="BN33" s="159"/>
      <c r="BO33" s="159"/>
      <c r="BP33" s="162"/>
      <c r="BQ33" s="165"/>
      <c r="BR33" s="159"/>
      <c r="BS33" s="159"/>
      <c r="BT33" s="162"/>
      <c r="BU33" s="166"/>
      <c r="BV33" s="159"/>
      <c r="BW33" s="159"/>
      <c r="BX33" s="162"/>
      <c r="BY33" s="167"/>
      <c r="BZ33" s="159"/>
      <c r="CA33" s="159"/>
      <c r="CB33" s="162"/>
      <c r="CC33" s="168"/>
      <c r="CD33" s="159"/>
      <c r="CE33" s="159"/>
      <c r="CF33" s="162"/>
      <c r="CG33" s="167"/>
      <c r="CH33" s="161"/>
      <c r="CI33" s="159"/>
      <c r="CJ33" s="162"/>
      <c r="CK33" s="168"/>
      <c r="CL33" s="161"/>
      <c r="CM33" s="159"/>
      <c r="CN33" s="162"/>
      <c r="CO33" s="167"/>
      <c r="CP33" s="161"/>
      <c r="CQ33" s="159"/>
      <c r="CR33" s="162"/>
      <c r="CS33" s="168"/>
      <c r="CT33" s="161"/>
      <c r="CU33" s="159"/>
      <c r="CV33" s="162"/>
      <c r="CW33" s="165"/>
      <c r="CX33" s="161"/>
      <c r="CY33" s="159"/>
      <c r="CZ33" s="162"/>
      <c r="DA33" s="168"/>
      <c r="DB33" s="161"/>
      <c r="DC33" s="159"/>
      <c r="DD33" s="162"/>
      <c r="DE33" s="167"/>
      <c r="DF33" s="159"/>
      <c r="DG33" s="164"/>
      <c r="DH33" s="159"/>
      <c r="DI33" s="169"/>
      <c r="DJ33" s="159"/>
      <c r="DK33" s="164"/>
      <c r="DL33" s="159"/>
      <c r="DM33" s="167"/>
      <c r="DN33" s="159"/>
      <c r="DO33" s="164"/>
      <c r="DP33" s="159"/>
      <c r="DQ33" s="169"/>
      <c r="DR33" s="159"/>
      <c r="DS33" s="164"/>
      <c r="DT33" s="159"/>
      <c r="DU33" s="167"/>
      <c r="DV33" s="159"/>
      <c r="DW33" s="164"/>
      <c r="DX33" s="159"/>
      <c r="DY33" s="169"/>
      <c r="DZ33" s="159"/>
      <c r="EA33" s="164"/>
      <c r="EB33" s="159"/>
      <c r="EC33" s="167"/>
      <c r="ED33" s="159"/>
      <c r="EE33" s="164"/>
      <c r="EF33" s="159"/>
      <c r="EG33" s="169"/>
      <c r="EH33" s="159"/>
      <c r="EI33" s="164"/>
      <c r="EJ33" s="159"/>
      <c r="EK33" s="167"/>
      <c r="EL33" s="159"/>
      <c r="EM33" s="164"/>
      <c r="EN33" s="159"/>
      <c r="EO33" s="169"/>
      <c r="EP33" s="159"/>
      <c r="EQ33" s="164"/>
      <c r="ER33" s="159"/>
      <c r="ES33" s="167"/>
      <c r="ET33" s="159"/>
      <c r="EU33" s="162"/>
      <c r="EV33" s="162"/>
      <c r="EW33" s="168"/>
      <c r="EX33" s="161"/>
      <c r="EY33" s="159"/>
      <c r="EZ33" s="159"/>
      <c r="FA33" s="165"/>
      <c r="FB33" s="159"/>
      <c r="FC33" s="162"/>
      <c r="FD33" s="162"/>
      <c r="FE33" s="168"/>
      <c r="FF33" s="159"/>
      <c r="FG33" s="162"/>
      <c r="FH33" s="162"/>
      <c r="FI33" s="167"/>
      <c r="FJ33" s="161"/>
      <c r="FK33" s="159"/>
      <c r="FL33" s="162"/>
      <c r="FM33" s="168"/>
      <c r="FN33" s="161"/>
      <c r="FO33" s="159"/>
      <c r="FP33" s="159"/>
      <c r="FQ33" s="165"/>
      <c r="FR33" s="161"/>
      <c r="FS33" s="159"/>
      <c r="FT33" s="162"/>
      <c r="FU33" s="168"/>
      <c r="FV33" s="161"/>
      <c r="FW33" s="159"/>
      <c r="FX33" s="164"/>
      <c r="FY33" s="167"/>
      <c r="FZ33" s="161"/>
      <c r="GA33" s="159"/>
      <c r="GB33" s="162"/>
      <c r="GC33" s="168"/>
      <c r="GD33" s="161"/>
      <c r="GE33" s="159"/>
      <c r="GF33" s="162"/>
      <c r="GG33" s="167"/>
      <c r="GH33" s="159"/>
      <c r="GI33" s="164"/>
      <c r="GJ33" s="159"/>
      <c r="GK33" s="169"/>
      <c r="GL33" s="159"/>
      <c r="GM33" s="164"/>
      <c r="GN33" s="159"/>
      <c r="GO33" s="167"/>
      <c r="GP33" s="161"/>
      <c r="GQ33" s="159"/>
      <c r="GR33" s="162"/>
      <c r="GS33" s="168"/>
      <c r="GT33" s="161"/>
      <c r="GU33" s="159"/>
      <c r="GV33" s="162"/>
      <c r="GW33" s="165"/>
      <c r="GX33" s="161"/>
      <c r="GY33" s="159"/>
      <c r="GZ33" s="162"/>
      <c r="HA33" s="168"/>
      <c r="HB33" s="159"/>
      <c r="HC33" s="162"/>
      <c r="HD33" s="164"/>
      <c r="HE33" s="170"/>
      <c r="HF33" s="161"/>
      <c r="HG33" s="159"/>
      <c r="HH33" s="162"/>
      <c r="HI33" s="168"/>
      <c r="HJ33" s="161"/>
      <c r="HK33" s="159"/>
      <c r="HL33" s="162"/>
      <c r="HM33" s="167"/>
      <c r="HN33" s="161"/>
      <c r="HO33" s="159"/>
      <c r="HP33" s="162"/>
      <c r="HQ33" s="168"/>
      <c r="HR33" s="161"/>
      <c r="HS33" s="159"/>
      <c r="HT33" s="159"/>
      <c r="HU33" s="167"/>
      <c r="HV33" s="161"/>
      <c r="HW33" s="159"/>
      <c r="HX33" s="162"/>
      <c r="HY33" s="168"/>
      <c r="HZ33" s="161"/>
      <c r="IA33" s="159"/>
      <c r="IB33" s="162"/>
      <c r="IC33" s="167"/>
      <c r="ID33" s="161"/>
      <c r="IE33" s="159"/>
      <c r="IF33" s="162"/>
      <c r="IG33" s="168"/>
      <c r="IH33" s="161"/>
      <c r="II33" s="159"/>
      <c r="IJ33" s="164"/>
      <c r="IK33" s="170"/>
      <c r="IL33" s="161"/>
      <c r="IM33" s="159"/>
      <c r="IN33" s="162"/>
      <c r="IO33" s="168"/>
      <c r="IP33" s="161"/>
      <c r="IQ33" s="159"/>
      <c r="IR33" s="162"/>
      <c r="IS33" s="167"/>
      <c r="IT33" s="159"/>
      <c r="IU33" s="164"/>
      <c r="IV33" s="159"/>
      <c r="IW33" s="169"/>
      <c r="IX33" s="159"/>
      <c r="IY33" s="164"/>
      <c r="IZ33" s="159"/>
      <c r="JA33" s="167"/>
      <c r="JB33" s="159"/>
      <c r="JC33" s="164"/>
      <c r="JD33" s="159"/>
      <c r="JE33" s="169"/>
      <c r="JF33" s="159"/>
      <c r="JG33" s="164"/>
      <c r="JH33" s="159"/>
      <c r="JI33" s="167"/>
      <c r="JJ33" s="159"/>
      <c r="JK33" s="164"/>
      <c r="JL33" s="159"/>
      <c r="JM33" s="169"/>
      <c r="JN33" s="159"/>
      <c r="JO33" s="164"/>
      <c r="JP33" s="159"/>
      <c r="JQ33" s="167"/>
      <c r="JR33" s="159"/>
      <c r="JS33" s="164"/>
      <c r="JT33" s="159"/>
      <c r="JU33" s="169"/>
      <c r="JV33" s="159"/>
      <c r="JW33" s="164"/>
      <c r="JX33" s="159"/>
      <c r="JY33" s="170"/>
      <c r="JZ33" s="161"/>
      <c r="KA33" s="161"/>
      <c r="KB33" s="159"/>
      <c r="KC33" s="171"/>
      <c r="KD33" s="161"/>
      <c r="KE33" s="159"/>
      <c r="KF33" s="162"/>
      <c r="KG33" s="167"/>
      <c r="KH33" s="159"/>
      <c r="KI33" s="164"/>
      <c r="KJ33" s="159"/>
      <c r="KK33" s="171"/>
      <c r="KL33" s="161"/>
      <c r="KM33" s="159"/>
      <c r="KN33" s="162"/>
      <c r="KO33" s="167"/>
      <c r="KP33" s="159"/>
      <c r="KQ33" s="164"/>
      <c r="KR33" s="159"/>
      <c r="KS33" s="169"/>
      <c r="KT33" s="159"/>
      <c r="KU33" s="164"/>
      <c r="KV33" s="159"/>
      <c r="KW33" s="167"/>
      <c r="KX33" s="161"/>
      <c r="KY33" s="159"/>
      <c r="KZ33" s="162"/>
      <c r="LA33" s="168"/>
      <c r="LB33" s="161"/>
      <c r="LC33" s="159"/>
      <c r="LD33" s="159"/>
    </row>
    <row r="34" spans="1:316" ht="25.5" customHeight="1" thickBot="1" x14ac:dyDescent="0.3">
      <c r="A34" s="90"/>
      <c r="B34" s="172"/>
      <c r="C34" s="173"/>
      <c r="D34" s="173"/>
      <c r="E34" s="173"/>
      <c r="F34" s="172"/>
      <c r="G34" s="173"/>
      <c r="H34" s="173"/>
      <c r="I34" s="173"/>
      <c r="J34" s="54"/>
      <c r="K34" s="55">
        <f>M34-'Федеральные  средства  по  МО'!N35-'Федеральные  средства  по  МО'!D35</f>
        <v>0</v>
      </c>
      <c r="L34" s="55">
        <f>Q34-'Федеральные  средства  по  МО'!O35-'Федеральные  средства  по  МО'!E35</f>
        <v>0</v>
      </c>
      <c r="M34" s="172"/>
      <c r="N34" s="173"/>
      <c r="O34" s="173"/>
      <c r="P34" s="173"/>
      <c r="Q34" s="172"/>
      <c r="R34" s="173"/>
      <c r="S34" s="173"/>
      <c r="T34" s="173"/>
      <c r="U34" s="174"/>
      <c r="V34" s="175"/>
      <c r="W34" s="173"/>
      <c r="X34" s="176"/>
      <c r="Y34" s="172"/>
      <c r="Z34" s="175"/>
      <c r="AA34" s="173"/>
      <c r="AB34" s="176"/>
      <c r="AC34" s="174"/>
      <c r="AD34" s="175"/>
      <c r="AE34" s="173"/>
      <c r="AF34" s="176"/>
      <c r="AG34" s="172"/>
      <c r="AH34" s="175"/>
      <c r="AI34" s="173"/>
      <c r="AJ34" s="173"/>
      <c r="AK34" s="174"/>
      <c r="AL34" s="175"/>
      <c r="AM34" s="173"/>
      <c r="AN34" s="176"/>
      <c r="AO34" s="172"/>
      <c r="AP34" s="175"/>
      <c r="AQ34" s="173"/>
      <c r="AR34" s="173"/>
      <c r="AS34" s="177"/>
      <c r="AT34" s="175"/>
      <c r="AU34" s="173"/>
      <c r="AV34" s="176"/>
      <c r="AW34" s="172"/>
      <c r="AX34" s="175"/>
      <c r="AY34" s="173"/>
      <c r="AZ34" s="178"/>
      <c r="BA34" s="174"/>
      <c r="BB34" s="175"/>
      <c r="BC34" s="173"/>
      <c r="BD34" s="176"/>
      <c r="BE34" s="172"/>
      <c r="BF34" s="175"/>
      <c r="BG34" s="173"/>
      <c r="BH34" s="176"/>
      <c r="BI34" s="174"/>
      <c r="BJ34" s="173"/>
      <c r="BK34" s="176"/>
      <c r="BL34" s="176"/>
      <c r="BM34" s="172"/>
      <c r="BN34" s="173"/>
      <c r="BO34" s="173"/>
      <c r="BP34" s="176"/>
      <c r="BQ34" s="179"/>
      <c r="BR34" s="173"/>
      <c r="BS34" s="173"/>
      <c r="BT34" s="176"/>
      <c r="BU34" s="180"/>
      <c r="BV34" s="173"/>
      <c r="BW34" s="173"/>
      <c r="BX34" s="176"/>
      <c r="BY34" s="180"/>
      <c r="BZ34" s="173"/>
      <c r="CA34" s="173"/>
      <c r="CB34" s="176"/>
      <c r="CC34" s="181"/>
      <c r="CD34" s="173"/>
      <c r="CE34" s="173"/>
      <c r="CF34" s="176"/>
      <c r="CG34" s="180"/>
      <c r="CH34" s="175"/>
      <c r="CI34" s="173"/>
      <c r="CJ34" s="176"/>
      <c r="CK34" s="181"/>
      <c r="CL34" s="175"/>
      <c r="CM34" s="173"/>
      <c r="CN34" s="176"/>
      <c r="CO34" s="180"/>
      <c r="CP34" s="175"/>
      <c r="CQ34" s="173"/>
      <c r="CR34" s="176"/>
      <c r="CS34" s="181"/>
      <c r="CT34" s="175"/>
      <c r="CU34" s="173"/>
      <c r="CV34" s="176"/>
      <c r="CW34" s="179"/>
      <c r="CX34" s="175"/>
      <c r="CY34" s="173"/>
      <c r="CZ34" s="176"/>
      <c r="DA34" s="181"/>
      <c r="DB34" s="175"/>
      <c r="DC34" s="173"/>
      <c r="DD34" s="176"/>
      <c r="DE34" s="180"/>
      <c r="DF34" s="173"/>
      <c r="DG34" s="178"/>
      <c r="DH34" s="173"/>
      <c r="DI34" s="179"/>
      <c r="DJ34" s="173"/>
      <c r="DK34" s="178"/>
      <c r="DL34" s="173"/>
      <c r="DM34" s="180"/>
      <c r="DN34" s="173"/>
      <c r="DO34" s="178"/>
      <c r="DP34" s="173"/>
      <c r="DQ34" s="179"/>
      <c r="DR34" s="173"/>
      <c r="DS34" s="178"/>
      <c r="DT34" s="173"/>
      <c r="DU34" s="180"/>
      <c r="DV34" s="173"/>
      <c r="DW34" s="178"/>
      <c r="DX34" s="173"/>
      <c r="DY34" s="179"/>
      <c r="DZ34" s="173"/>
      <c r="EA34" s="178"/>
      <c r="EB34" s="173"/>
      <c r="EC34" s="180"/>
      <c r="ED34" s="173"/>
      <c r="EE34" s="178"/>
      <c r="EF34" s="173"/>
      <c r="EG34" s="179"/>
      <c r="EH34" s="173"/>
      <c r="EI34" s="178"/>
      <c r="EJ34" s="173"/>
      <c r="EK34" s="180"/>
      <c r="EL34" s="173"/>
      <c r="EM34" s="178"/>
      <c r="EN34" s="173"/>
      <c r="EO34" s="179"/>
      <c r="EP34" s="173"/>
      <c r="EQ34" s="178"/>
      <c r="ER34" s="173"/>
      <c r="ES34" s="180"/>
      <c r="ET34" s="173"/>
      <c r="EU34" s="176"/>
      <c r="EV34" s="176"/>
      <c r="EW34" s="181"/>
      <c r="EX34" s="175"/>
      <c r="EY34" s="173"/>
      <c r="EZ34" s="173"/>
      <c r="FA34" s="179"/>
      <c r="FB34" s="173"/>
      <c r="FC34" s="176"/>
      <c r="FD34" s="176"/>
      <c r="FE34" s="181"/>
      <c r="FF34" s="173"/>
      <c r="FG34" s="176"/>
      <c r="FH34" s="176"/>
      <c r="FI34" s="180"/>
      <c r="FJ34" s="175"/>
      <c r="FK34" s="173"/>
      <c r="FL34" s="176"/>
      <c r="FM34" s="181"/>
      <c r="FN34" s="175"/>
      <c r="FO34" s="173"/>
      <c r="FP34" s="173"/>
      <c r="FQ34" s="179"/>
      <c r="FR34" s="175"/>
      <c r="FS34" s="173"/>
      <c r="FT34" s="176"/>
      <c r="FU34" s="181"/>
      <c r="FV34" s="175"/>
      <c r="FW34" s="173"/>
      <c r="FX34" s="178"/>
      <c r="FY34" s="180"/>
      <c r="FZ34" s="175"/>
      <c r="GA34" s="173"/>
      <c r="GB34" s="176"/>
      <c r="GC34" s="181"/>
      <c r="GD34" s="175"/>
      <c r="GE34" s="173"/>
      <c r="GF34" s="176"/>
      <c r="GG34" s="180"/>
      <c r="GH34" s="173"/>
      <c r="GI34" s="178"/>
      <c r="GJ34" s="173"/>
      <c r="GK34" s="179"/>
      <c r="GL34" s="173"/>
      <c r="GM34" s="178"/>
      <c r="GN34" s="173"/>
      <c r="GO34" s="180"/>
      <c r="GP34" s="175"/>
      <c r="GQ34" s="173"/>
      <c r="GR34" s="176"/>
      <c r="GS34" s="181"/>
      <c r="GT34" s="175"/>
      <c r="GU34" s="173"/>
      <c r="GV34" s="176"/>
      <c r="GW34" s="179"/>
      <c r="GX34" s="175"/>
      <c r="GY34" s="173"/>
      <c r="GZ34" s="176"/>
      <c r="HA34" s="181"/>
      <c r="HB34" s="173"/>
      <c r="HC34" s="176"/>
      <c r="HD34" s="178"/>
      <c r="HE34" s="181"/>
      <c r="HF34" s="175"/>
      <c r="HG34" s="173"/>
      <c r="HH34" s="176"/>
      <c r="HI34" s="181"/>
      <c r="HJ34" s="175"/>
      <c r="HK34" s="173"/>
      <c r="HL34" s="176"/>
      <c r="HM34" s="180"/>
      <c r="HN34" s="175"/>
      <c r="HO34" s="173"/>
      <c r="HP34" s="176"/>
      <c r="HQ34" s="181"/>
      <c r="HR34" s="175"/>
      <c r="HS34" s="173"/>
      <c r="HT34" s="173"/>
      <c r="HU34" s="180"/>
      <c r="HV34" s="175"/>
      <c r="HW34" s="173"/>
      <c r="HX34" s="176"/>
      <c r="HY34" s="181"/>
      <c r="HZ34" s="175"/>
      <c r="IA34" s="173"/>
      <c r="IB34" s="176"/>
      <c r="IC34" s="180"/>
      <c r="ID34" s="175"/>
      <c r="IE34" s="173"/>
      <c r="IF34" s="176"/>
      <c r="IG34" s="181"/>
      <c r="IH34" s="175"/>
      <c r="II34" s="173"/>
      <c r="IJ34" s="178"/>
      <c r="IK34" s="181"/>
      <c r="IL34" s="175"/>
      <c r="IM34" s="173"/>
      <c r="IN34" s="176"/>
      <c r="IO34" s="181"/>
      <c r="IP34" s="175"/>
      <c r="IQ34" s="173"/>
      <c r="IR34" s="176"/>
      <c r="IS34" s="180"/>
      <c r="IT34" s="173"/>
      <c r="IU34" s="178"/>
      <c r="IV34" s="173"/>
      <c r="IW34" s="179"/>
      <c r="IX34" s="173"/>
      <c r="IY34" s="178"/>
      <c r="IZ34" s="173"/>
      <c r="JA34" s="180"/>
      <c r="JB34" s="173"/>
      <c r="JC34" s="178"/>
      <c r="JD34" s="173"/>
      <c r="JE34" s="179"/>
      <c r="JF34" s="173"/>
      <c r="JG34" s="178"/>
      <c r="JH34" s="173"/>
      <c r="JI34" s="180"/>
      <c r="JJ34" s="173"/>
      <c r="JK34" s="178"/>
      <c r="JL34" s="173"/>
      <c r="JM34" s="179"/>
      <c r="JN34" s="173"/>
      <c r="JO34" s="178"/>
      <c r="JP34" s="173"/>
      <c r="JQ34" s="180"/>
      <c r="JR34" s="173"/>
      <c r="JS34" s="178"/>
      <c r="JT34" s="173"/>
      <c r="JU34" s="179"/>
      <c r="JV34" s="173"/>
      <c r="JW34" s="178"/>
      <c r="JX34" s="173"/>
      <c r="JY34" s="181"/>
      <c r="JZ34" s="175"/>
      <c r="KA34" s="175"/>
      <c r="KB34" s="173"/>
      <c r="KC34" s="182"/>
      <c r="KD34" s="175"/>
      <c r="KE34" s="173"/>
      <c r="KF34" s="176"/>
      <c r="KG34" s="180"/>
      <c r="KH34" s="173"/>
      <c r="KI34" s="178"/>
      <c r="KJ34" s="173"/>
      <c r="KK34" s="182"/>
      <c r="KL34" s="175"/>
      <c r="KM34" s="173"/>
      <c r="KN34" s="176"/>
      <c r="KO34" s="180"/>
      <c r="KP34" s="173"/>
      <c r="KQ34" s="178"/>
      <c r="KR34" s="173"/>
      <c r="KS34" s="179"/>
      <c r="KT34" s="173"/>
      <c r="KU34" s="178"/>
      <c r="KV34" s="173"/>
      <c r="KW34" s="180"/>
      <c r="KX34" s="175"/>
      <c r="KY34" s="173"/>
      <c r="KZ34" s="176"/>
      <c r="LA34" s="181"/>
      <c r="LB34" s="175"/>
      <c r="LC34" s="173"/>
      <c r="LD34" s="173"/>
    </row>
    <row r="35" spans="1:316" ht="25.5" customHeight="1" thickBot="1" x14ac:dyDescent="0.3">
      <c r="A35" s="106" t="s">
        <v>340</v>
      </c>
      <c r="B35" s="183">
        <f t="shared" ref="B35:F35" si="156">B28+B32</f>
        <v>6951295748.6099987</v>
      </c>
      <c r="C35" s="184">
        <f t="shared" si="156"/>
        <v>6349660428.1899986</v>
      </c>
      <c r="D35" s="184">
        <f t="shared" si="156"/>
        <v>125298675.64</v>
      </c>
      <c r="E35" s="184">
        <f t="shared" si="156"/>
        <v>476336644.77999997</v>
      </c>
      <c r="F35" s="183">
        <f t="shared" si="156"/>
        <v>2726963444.6799998</v>
      </c>
      <c r="G35" s="184">
        <f t="shared" ref="G35:I35" si="157">G28+G32</f>
        <v>2475291893.2999997</v>
      </c>
      <c r="H35" s="184">
        <f t="shared" si="157"/>
        <v>36804858.410000004</v>
      </c>
      <c r="I35" s="184">
        <f t="shared" si="157"/>
        <v>214866692.96999997</v>
      </c>
      <c r="J35" s="54"/>
      <c r="K35" s="55">
        <f>M35-'Федеральные  средства  по  МО'!N36-'Федеральные  средства  по  МО'!D36</f>
        <v>0</v>
      </c>
      <c r="L35" s="55">
        <f>Q35-'Федеральные  средства  по  МО'!O36-'Федеральные  средства  по  МО'!E36</f>
        <v>0</v>
      </c>
      <c r="M35" s="183">
        <f t="shared" ref="M35:BP35" si="158">M28+M32</f>
        <v>8314966892.499999</v>
      </c>
      <c r="N35" s="184">
        <f t="shared" si="158"/>
        <v>7568771157.9699993</v>
      </c>
      <c r="O35" s="184">
        <f t="shared" si="158"/>
        <v>125298675.64</v>
      </c>
      <c r="P35" s="184">
        <f t="shared" si="158"/>
        <v>476336644.77999997</v>
      </c>
      <c r="Q35" s="183">
        <f t="shared" si="158"/>
        <v>2730562444.6799998</v>
      </c>
      <c r="R35" s="184">
        <f t="shared" si="158"/>
        <v>2478890893.2999997</v>
      </c>
      <c r="S35" s="184">
        <f t="shared" si="158"/>
        <v>36804858.410000004</v>
      </c>
      <c r="T35" s="184">
        <f t="shared" si="158"/>
        <v>214866692.96999997</v>
      </c>
      <c r="U35" s="185">
        <f t="shared" si="158"/>
        <v>0</v>
      </c>
      <c r="V35" s="186">
        <f t="shared" si="158"/>
        <v>0</v>
      </c>
      <c r="W35" s="187">
        <f t="shared" si="158"/>
        <v>0</v>
      </c>
      <c r="X35" s="188">
        <f t="shared" si="158"/>
        <v>0</v>
      </c>
      <c r="Y35" s="189">
        <f t="shared" si="158"/>
        <v>0</v>
      </c>
      <c r="Z35" s="186">
        <f t="shared" si="158"/>
        <v>0</v>
      </c>
      <c r="AA35" s="187">
        <f t="shared" si="158"/>
        <v>0</v>
      </c>
      <c r="AB35" s="188">
        <f t="shared" si="158"/>
        <v>0</v>
      </c>
      <c r="AC35" s="185">
        <f t="shared" ref="AC35:AJ35" si="159">AC28+AC32</f>
        <v>903434729.78000021</v>
      </c>
      <c r="AD35" s="186">
        <f t="shared" si="159"/>
        <v>903434729.78000021</v>
      </c>
      <c r="AE35" s="187">
        <f t="shared" si="159"/>
        <v>0</v>
      </c>
      <c r="AF35" s="188">
        <f t="shared" si="159"/>
        <v>0</v>
      </c>
      <c r="AG35" s="189">
        <f t="shared" si="159"/>
        <v>0</v>
      </c>
      <c r="AH35" s="186">
        <f t="shared" si="159"/>
        <v>0</v>
      </c>
      <c r="AI35" s="187">
        <f t="shared" si="159"/>
        <v>0</v>
      </c>
      <c r="AJ35" s="187">
        <f t="shared" si="159"/>
        <v>0</v>
      </c>
      <c r="AK35" s="185">
        <f t="shared" si="158"/>
        <v>315676000</v>
      </c>
      <c r="AL35" s="186">
        <f t="shared" si="158"/>
        <v>315676000</v>
      </c>
      <c r="AM35" s="187">
        <f t="shared" si="158"/>
        <v>0</v>
      </c>
      <c r="AN35" s="188">
        <f t="shared" si="158"/>
        <v>0</v>
      </c>
      <c r="AO35" s="189">
        <f t="shared" si="158"/>
        <v>3599000</v>
      </c>
      <c r="AP35" s="186">
        <f t="shared" si="158"/>
        <v>3599000</v>
      </c>
      <c r="AQ35" s="187">
        <f t="shared" si="158"/>
        <v>0</v>
      </c>
      <c r="AR35" s="187">
        <f t="shared" si="158"/>
        <v>0</v>
      </c>
      <c r="AS35" s="190">
        <f t="shared" si="158"/>
        <v>22014164.57</v>
      </c>
      <c r="AT35" s="186">
        <f t="shared" si="158"/>
        <v>22014164.57</v>
      </c>
      <c r="AU35" s="187">
        <f t="shared" si="158"/>
        <v>0</v>
      </c>
      <c r="AV35" s="188">
        <f t="shared" si="158"/>
        <v>0</v>
      </c>
      <c r="AW35" s="189">
        <f t="shared" si="158"/>
        <v>0</v>
      </c>
      <c r="AX35" s="186">
        <f t="shared" si="158"/>
        <v>0</v>
      </c>
      <c r="AY35" s="187">
        <f t="shared" si="158"/>
        <v>0</v>
      </c>
      <c r="AZ35" s="191">
        <f t="shared" si="158"/>
        <v>0</v>
      </c>
      <c r="BA35" s="185">
        <f t="shared" si="158"/>
        <v>1011540300</v>
      </c>
      <c r="BB35" s="186">
        <f t="shared" si="158"/>
        <v>995702200</v>
      </c>
      <c r="BC35" s="187">
        <f t="shared" si="158"/>
        <v>0</v>
      </c>
      <c r="BD35" s="188">
        <f t="shared" si="158"/>
        <v>15838100</v>
      </c>
      <c r="BE35" s="189">
        <f t="shared" si="158"/>
        <v>222265057.01999998</v>
      </c>
      <c r="BF35" s="186">
        <f t="shared" si="158"/>
        <v>222265057.01999998</v>
      </c>
      <c r="BG35" s="187">
        <f t="shared" si="158"/>
        <v>0</v>
      </c>
      <c r="BH35" s="188">
        <f t="shared" si="158"/>
        <v>0</v>
      </c>
      <c r="BI35" s="185">
        <f t="shared" si="158"/>
        <v>75345743.200000003</v>
      </c>
      <c r="BJ35" s="187">
        <f t="shared" si="158"/>
        <v>75345743.200000003</v>
      </c>
      <c r="BK35" s="188">
        <f t="shared" si="158"/>
        <v>0</v>
      </c>
      <c r="BL35" s="188">
        <f t="shared" si="158"/>
        <v>0</v>
      </c>
      <c r="BM35" s="189">
        <f t="shared" si="158"/>
        <v>64798441.840000004</v>
      </c>
      <c r="BN35" s="187">
        <f t="shared" si="158"/>
        <v>64798441.840000004</v>
      </c>
      <c r="BO35" s="187">
        <f t="shared" si="158"/>
        <v>0</v>
      </c>
      <c r="BP35" s="188">
        <f t="shared" si="158"/>
        <v>0</v>
      </c>
      <c r="BQ35" s="192">
        <f>BQ28+BQ32</f>
        <v>5982800</v>
      </c>
      <c r="BR35" s="187">
        <f t="shared" ref="BR35:BT35" si="160">BR28+BR32</f>
        <v>5982800</v>
      </c>
      <c r="BS35" s="187">
        <f t="shared" si="160"/>
        <v>0</v>
      </c>
      <c r="BT35" s="188">
        <f t="shared" si="160"/>
        <v>0</v>
      </c>
      <c r="BU35" s="193">
        <f>BU28+BU32</f>
        <v>0</v>
      </c>
      <c r="BV35" s="187">
        <f t="shared" ref="BV35:CV35" si="161">BV28+BV32</f>
        <v>0</v>
      </c>
      <c r="BW35" s="187">
        <f t="shared" si="161"/>
        <v>0</v>
      </c>
      <c r="BX35" s="188">
        <f t="shared" si="161"/>
        <v>0</v>
      </c>
      <c r="BY35" s="193">
        <f t="shared" si="161"/>
        <v>0</v>
      </c>
      <c r="BZ35" s="187">
        <f t="shared" si="161"/>
        <v>0</v>
      </c>
      <c r="CA35" s="187">
        <f t="shared" si="161"/>
        <v>0</v>
      </c>
      <c r="CB35" s="188">
        <f t="shared" si="161"/>
        <v>0</v>
      </c>
      <c r="CC35" s="194">
        <f t="shared" si="161"/>
        <v>0</v>
      </c>
      <c r="CD35" s="187">
        <f t="shared" si="161"/>
        <v>0</v>
      </c>
      <c r="CE35" s="187">
        <f t="shared" si="161"/>
        <v>0</v>
      </c>
      <c r="CF35" s="188">
        <f t="shared" si="161"/>
        <v>0</v>
      </c>
      <c r="CG35" s="193">
        <f t="shared" si="161"/>
        <v>844127500</v>
      </c>
      <c r="CH35" s="186">
        <f t="shared" si="161"/>
        <v>844127500</v>
      </c>
      <c r="CI35" s="187">
        <f t="shared" si="161"/>
        <v>0</v>
      </c>
      <c r="CJ35" s="188">
        <f t="shared" si="161"/>
        <v>0</v>
      </c>
      <c r="CK35" s="194">
        <f t="shared" si="161"/>
        <v>401718749.95999998</v>
      </c>
      <c r="CL35" s="186">
        <f t="shared" si="161"/>
        <v>401718749.95999998</v>
      </c>
      <c r="CM35" s="187">
        <f t="shared" si="161"/>
        <v>0</v>
      </c>
      <c r="CN35" s="188">
        <f t="shared" si="161"/>
        <v>0</v>
      </c>
      <c r="CO35" s="193">
        <f t="shared" si="161"/>
        <v>197611636.71000001</v>
      </c>
      <c r="CP35" s="186">
        <f t="shared" si="161"/>
        <v>197611636.71000001</v>
      </c>
      <c r="CQ35" s="187">
        <f t="shared" si="161"/>
        <v>0</v>
      </c>
      <c r="CR35" s="188">
        <f t="shared" si="161"/>
        <v>0</v>
      </c>
      <c r="CS35" s="194">
        <f t="shared" si="161"/>
        <v>104137919.87</v>
      </c>
      <c r="CT35" s="186">
        <f t="shared" si="161"/>
        <v>104137919.87</v>
      </c>
      <c r="CU35" s="187">
        <f t="shared" si="161"/>
        <v>0</v>
      </c>
      <c r="CV35" s="188">
        <f t="shared" si="161"/>
        <v>0</v>
      </c>
      <c r="CW35" s="192">
        <f>CW28+CW32</f>
        <v>18686100</v>
      </c>
      <c r="CX35" s="186">
        <f t="shared" ref="CX35:CZ35" si="162">CX28+CX32</f>
        <v>15818325.819999998</v>
      </c>
      <c r="CY35" s="187">
        <f t="shared" si="162"/>
        <v>2867774.1799999997</v>
      </c>
      <c r="CZ35" s="188">
        <f t="shared" si="162"/>
        <v>0</v>
      </c>
      <c r="DA35" s="194">
        <f>DA28+DA32</f>
        <v>622691.93000000005</v>
      </c>
      <c r="DB35" s="186">
        <f t="shared" ref="DB35:ER35" si="163">DB28+DB32</f>
        <v>0</v>
      </c>
      <c r="DC35" s="187">
        <f t="shared" si="163"/>
        <v>622691.93000000005</v>
      </c>
      <c r="DD35" s="188">
        <f t="shared" si="163"/>
        <v>0</v>
      </c>
      <c r="DE35" s="193">
        <f t="shared" si="163"/>
        <v>0</v>
      </c>
      <c r="DF35" s="187">
        <f t="shared" si="163"/>
        <v>0</v>
      </c>
      <c r="DG35" s="191">
        <f t="shared" si="163"/>
        <v>0</v>
      </c>
      <c r="DH35" s="187">
        <f t="shared" si="163"/>
        <v>0</v>
      </c>
      <c r="DI35" s="192">
        <f t="shared" si="163"/>
        <v>0</v>
      </c>
      <c r="DJ35" s="187">
        <f t="shared" si="163"/>
        <v>0</v>
      </c>
      <c r="DK35" s="191">
        <f t="shared" si="163"/>
        <v>0</v>
      </c>
      <c r="DL35" s="187">
        <f t="shared" si="163"/>
        <v>0</v>
      </c>
      <c r="DM35" s="193">
        <f t="shared" si="163"/>
        <v>234131380.22999999</v>
      </c>
      <c r="DN35" s="187">
        <f t="shared" si="163"/>
        <v>234131380.22999999</v>
      </c>
      <c r="DO35" s="191">
        <f t="shared" si="163"/>
        <v>0</v>
      </c>
      <c r="DP35" s="187">
        <f t="shared" si="163"/>
        <v>0</v>
      </c>
      <c r="DQ35" s="192">
        <f t="shared" si="163"/>
        <v>50526359.969999999</v>
      </c>
      <c r="DR35" s="187">
        <f t="shared" si="163"/>
        <v>50526359.969999999</v>
      </c>
      <c r="DS35" s="191">
        <f t="shared" si="163"/>
        <v>0</v>
      </c>
      <c r="DT35" s="187">
        <f t="shared" si="163"/>
        <v>0</v>
      </c>
      <c r="DU35" s="193">
        <f t="shared" si="163"/>
        <v>335298439.97000003</v>
      </c>
      <c r="DV35" s="187">
        <f t="shared" si="163"/>
        <v>335298439.97000003</v>
      </c>
      <c r="DW35" s="191">
        <f t="shared" si="163"/>
        <v>0</v>
      </c>
      <c r="DX35" s="187">
        <f t="shared" si="163"/>
        <v>0</v>
      </c>
      <c r="DY35" s="192">
        <f t="shared" si="163"/>
        <v>140539200</v>
      </c>
      <c r="DZ35" s="187">
        <f t="shared" si="163"/>
        <v>140539200</v>
      </c>
      <c r="EA35" s="191">
        <f t="shared" si="163"/>
        <v>0</v>
      </c>
      <c r="EB35" s="187">
        <f t="shared" si="163"/>
        <v>0</v>
      </c>
      <c r="EC35" s="193">
        <f t="shared" si="163"/>
        <v>1404739120.51</v>
      </c>
      <c r="ED35" s="187">
        <f t="shared" si="163"/>
        <v>1404739120.51</v>
      </c>
      <c r="EE35" s="191">
        <f t="shared" si="163"/>
        <v>0</v>
      </c>
      <c r="EF35" s="187">
        <f t="shared" si="163"/>
        <v>0</v>
      </c>
      <c r="EG35" s="192">
        <f t="shared" si="163"/>
        <v>572135749.15999997</v>
      </c>
      <c r="EH35" s="187">
        <f t="shared" si="163"/>
        <v>572135749.15999997</v>
      </c>
      <c r="EI35" s="191">
        <f t="shared" si="163"/>
        <v>0</v>
      </c>
      <c r="EJ35" s="187">
        <f t="shared" si="163"/>
        <v>0</v>
      </c>
      <c r="EK35" s="193">
        <f t="shared" si="163"/>
        <v>167793311.36000001</v>
      </c>
      <c r="EL35" s="187">
        <f t="shared" si="163"/>
        <v>0</v>
      </c>
      <c r="EM35" s="191">
        <f t="shared" si="163"/>
        <v>0</v>
      </c>
      <c r="EN35" s="187">
        <f t="shared" si="163"/>
        <v>167793311.36000001</v>
      </c>
      <c r="EO35" s="192">
        <f t="shared" si="163"/>
        <v>144222088.74000001</v>
      </c>
      <c r="EP35" s="187">
        <f t="shared" si="163"/>
        <v>0</v>
      </c>
      <c r="EQ35" s="191">
        <f t="shared" si="163"/>
        <v>0</v>
      </c>
      <c r="ER35" s="187">
        <f t="shared" si="163"/>
        <v>144222088.74000001</v>
      </c>
      <c r="ES35" s="193">
        <f>ES28+ES32</f>
        <v>2500000</v>
      </c>
      <c r="ET35" s="187">
        <f t="shared" ref="ET35:EV35" si="164">ET28+ET32</f>
        <v>0</v>
      </c>
      <c r="EU35" s="188">
        <f t="shared" si="164"/>
        <v>0</v>
      </c>
      <c r="EV35" s="188">
        <f t="shared" si="164"/>
        <v>2500000</v>
      </c>
      <c r="EW35" s="194">
        <f>EW28+EW32</f>
        <v>0</v>
      </c>
      <c r="EX35" s="186">
        <f t="shared" ref="EX35:EZ35" si="165">EX28+EX32</f>
        <v>0</v>
      </c>
      <c r="EY35" s="187">
        <f t="shared" si="165"/>
        <v>0</v>
      </c>
      <c r="EZ35" s="187">
        <f t="shared" si="165"/>
        <v>0</v>
      </c>
      <c r="FA35" s="192">
        <f>FA28+FA32</f>
        <v>21850000</v>
      </c>
      <c r="FB35" s="187">
        <f t="shared" ref="FB35:FD35" si="166">FB28+FB32</f>
        <v>21850000</v>
      </c>
      <c r="FC35" s="188">
        <f t="shared" si="166"/>
        <v>0</v>
      </c>
      <c r="FD35" s="188">
        <f t="shared" si="166"/>
        <v>0</v>
      </c>
      <c r="FE35" s="194">
        <f>FE28+FE32</f>
        <v>563268.53</v>
      </c>
      <c r="FF35" s="187">
        <f t="shared" ref="FF35:FH35" si="167">FF28+FF32</f>
        <v>563268.53</v>
      </c>
      <c r="FG35" s="188">
        <f t="shared" si="167"/>
        <v>0</v>
      </c>
      <c r="FH35" s="188">
        <f t="shared" si="167"/>
        <v>0</v>
      </c>
      <c r="FI35" s="193">
        <f>FI28+FI32</f>
        <v>2488300</v>
      </c>
      <c r="FJ35" s="186">
        <f t="shared" ref="FJ35:FL35" si="168">FJ28+FJ32</f>
        <v>2488300</v>
      </c>
      <c r="FK35" s="187">
        <f t="shared" si="168"/>
        <v>0</v>
      </c>
      <c r="FL35" s="188">
        <f t="shared" si="168"/>
        <v>0</v>
      </c>
      <c r="FM35" s="194">
        <f>FM28+FM32</f>
        <v>2488299.9900000002</v>
      </c>
      <c r="FN35" s="186">
        <f t="shared" ref="FN35:FP35" si="169">FN28+FN32</f>
        <v>2488299.9900000002</v>
      </c>
      <c r="FO35" s="187">
        <f t="shared" si="169"/>
        <v>0</v>
      </c>
      <c r="FP35" s="187">
        <f t="shared" si="169"/>
        <v>0</v>
      </c>
      <c r="FQ35" s="192">
        <f>FQ28+FQ32</f>
        <v>36716.63999999997</v>
      </c>
      <c r="FR35" s="186">
        <f t="shared" ref="FR35:FT35" si="170">FR28+FR32</f>
        <v>18358.319999999985</v>
      </c>
      <c r="FS35" s="187">
        <f t="shared" si="170"/>
        <v>-2391110.16</v>
      </c>
      <c r="FT35" s="188">
        <f t="shared" si="170"/>
        <v>2409468.4799999995</v>
      </c>
      <c r="FU35" s="194">
        <f>FU28+FU32</f>
        <v>0</v>
      </c>
      <c r="FV35" s="186">
        <f t="shared" ref="FV35:FX35" si="171">FV28+FV32</f>
        <v>0</v>
      </c>
      <c r="FW35" s="187">
        <f t="shared" si="171"/>
        <v>0</v>
      </c>
      <c r="FX35" s="191">
        <f t="shared" si="171"/>
        <v>0</v>
      </c>
      <c r="FY35" s="193">
        <f>FY28+FY32</f>
        <v>9055887.7100000009</v>
      </c>
      <c r="FZ35" s="186">
        <f t="shared" ref="FZ35:GB35" si="172">FZ28+FZ32</f>
        <v>0</v>
      </c>
      <c r="GA35" s="187">
        <f t="shared" si="172"/>
        <v>9055887.7100000009</v>
      </c>
      <c r="GB35" s="188">
        <f t="shared" si="172"/>
        <v>0</v>
      </c>
      <c r="GC35" s="194">
        <f>GC28+GC32</f>
        <v>0</v>
      </c>
      <c r="GD35" s="186">
        <f>GD28+GD32</f>
        <v>0</v>
      </c>
      <c r="GE35" s="187">
        <f>GE28+GE32</f>
        <v>0</v>
      </c>
      <c r="GF35" s="188">
        <f>GF28+GF32</f>
        <v>0</v>
      </c>
      <c r="GG35" s="193">
        <f t="shared" ref="GG35:GN35" si="173">GG28+GG32</f>
        <v>6524400</v>
      </c>
      <c r="GH35" s="187">
        <f t="shared" si="173"/>
        <v>6524400</v>
      </c>
      <c r="GI35" s="191">
        <f t="shared" si="173"/>
        <v>0</v>
      </c>
      <c r="GJ35" s="187">
        <f t="shared" si="173"/>
        <v>0</v>
      </c>
      <c r="GK35" s="192">
        <f t="shared" si="173"/>
        <v>0</v>
      </c>
      <c r="GL35" s="187">
        <f t="shared" si="173"/>
        <v>0</v>
      </c>
      <c r="GM35" s="191">
        <f t="shared" si="173"/>
        <v>0</v>
      </c>
      <c r="GN35" s="187">
        <f t="shared" si="173"/>
        <v>0</v>
      </c>
      <c r="GO35" s="193">
        <f>GO28+GO32</f>
        <v>29785800</v>
      </c>
      <c r="GP35" s="186">
        <f t="shared" ref="GP35:GR35" si="174">GP28+GP32</f>
        <v>5900400</v>
      </c>
      <c r="GQ35" s="187">
        <f t="shared" si="174"/>
        <v>23885400</v>
      </c>
      <c r="GR35" s="188">
        <f t="shared" si="174"/>
        <v>0</v>
      </c>
      <c r="GS35" s="194">
        <f>GS28+GS32</f>
        <v>15621406.539999999</v>
      </c>
      <c r="GT35" s="186">
        <f>GT28+GT32</f>
        <v>0</v>
      </c>
      <c r="GU35" s="187">
        <f>GU28+GU32</f>
        <v>15621406.539999999</v>
      </c>
      <c r="GV35" s="188">
        <f>GV28+GV32</f>
        <v>0</v>
      </c>
      <c r="GW35" s="192">
        <f>GW28+GW32</f>
        <v>4757600</v>
      </c>
      <c r="GX35" s="186">
        <f t="shared" ref="GX35:GZ35" si="175">GX28+GX32</f>
        <v>4757600</v>
      </c>
      <c r="GY35" s="187">
        <f t="shared" si="175"/>
        <v>0</v>
      </c>
      <c r="GZ35" s="188">
        <f t="shared" si="175"/>
        <v>0</v>
      </c>
      <c r="HA35" s="194">
        <f>HA28+HA32</f>
        <v>484797.61</v>
      </c>
      <c r="HB35" s="187">
        <f t="shared" ref="HB35:HD35" si="176">HB28+HB32</f>
        <v>484797.61</v>
      </c>
      <c r="HC35" s="188">
        <f t="shared" si="176"/>
        <v>0</v>
      </c>
      <c r="HD35" s="191">
        <f t="shared" si="176"/>
        <v>0</v>
      </c>
      <c r="HE35" s="194">
        <f>HE28+HE32</f>
        <v>0</v>
      </c>
      <c r="HF35" s="186">
        <f t="shared" ref="HF35:HH35" si="177">HF28+HF32</f>
        <v>0</v>
      </c>
      <c r="HG35" s="187">
        <f t="shared" si="177"/>
        <v>0</v>
      </c>
      <c r="HH35" s="188">
        <f t="shared" si="177"/>
        <v>0</v>
      </c>
      <c r="HI35" s="194">
        <f>HI28+HI32</f>
        <v>0</v>
      </c>
      <c r="HJ35" s="186">
        <f t="shared" ref="HJ35:JU35" si="178">HJ28+HJ32</f>
        <v>0</v>
      </c>
      <c r="HK35" s="187">
        <f t="shared" si="178"/>
        <v>0</v>
      </c>
      <c r="HL35" s="188">
        <f t="shared" si="178"/>
        <v>0</v>
      </c>
      <c r="HM35" s="193">
        <f t="shared" si="178"/>
        <v>168192399.99999994</v>
      </c>
      <c r="HN35" s="186">
        <f t="shared" si="178"/>
        <v>3631049.3999999976</v>
      </c>
      <c r="HO35" s="187">
        <f t="shared" si="178"/>
        <v>0</v>
      </c>
      <c r="HP35" s="188">
        <f t="shared" si="178"/>
        <v>164561350.59999999</v>
      </c>
      <c r="HQ35" s="194">
        <f t="shared" si="178"/>
        <v>2826538.59</v>
      </c>
      <c r="HR35" s="186">
        <f t="shared" si="178"/>
        <v>2793035.53</v>
      </c>
      <c r="HS35" s="187">
        <f t="shared" si="178"/>
        <v>0</v>
      </c>
      <c r="HT35" s="188">
        <f t="shared" si="178"/>
        <v>33503.06</v>
      </c>
      <c r="HU35" s="193">
        <f t="shared" si="178"/>
        <v>0</v>
      </c>
      <c r="HV35" s="186">
        <f t="shared" si="178"/>
        <v>0</v>
      </c>
      <c r="HW35" s="187">
        <f t="shared" si="178"/>
        <v>0</v>
      </c>
      <c r="HX35" s="188">
        <f t="shared" si="178"/>
        <v>0</v>
      </c>
      <c r="HY35" s="194">
        <f t="shared" si="178"/>
        <v>0</v>
      </c>
      <c r="HZ35" s="186">
        <f t="shared" si="178"/>
        <v>0</v>
      </c>
      <c r="IA35" s="187">
        <f t="shared" si="178"/>
        <v>0</v>
      </c>
      <c r="IB35" s="188">
        <f t="shared" si="178"/>
        <v>0</v>
      </c>
      <c r="IC35" s="193">
        <f t="shared" si="178"/>
        <v>416944914.11000001</v>
      </c>
      <c r="ID35" s="186">
        <f t="shared" si="178"/>
        <v>168384500</v>
      </c>
      <c r="IE35" s="187">
        <f t="shared" si="178"/>
        <v>0</v>
      </c>
      <c r="IF35" s="188">
        <f t="shared" si="178"/>
        <v>104000000</v>
      </c>
      <c r="IG35" s="194">
        <f t="shared" si="178"/>
        <v>126381994.62</v>
      </c>
      <c r="IH35" s="186">
        <f t="shared" si="178"/>
        <v>56707126.899999999</v>
      </c>
      <c r="II35" s="187">
        <f t="shared" si="178"/>
        <v>0</v>
      </c>
      <c r="IJ35" s="191">
        <f t="shared" si="178"/>
        <v>69674867.719999999</v>
      </c>
      <c r="IK35" s="194">
        <f t="shared" si="178"/>
        <v>8932514.2699999996</v>
      </c>
      <c r="IL35" s="186">
        <f t="shared" si="178"/>
        <v>2889951.19</v>
      </c>
      <c r="IM35" s="187">
        <f t="shared" si="178"/>
        <v>6042563.0800000001</v>
      </c>
      <c r="IN35" s="188">
        <f t="shared" si="178"/>
        <v>0</v>
      </c>
      <c r="IO35" s="194">
        <f t="shared" si="178"/>
        <v>1185621.1599999999</v>
      </c>
      <c r="IP35" s="186">
        <f t="shared" si="178"/>
        <v>0</v>
      </c>
      <c r="IQ35" s="187">
        <f t="shared" si="178"/>
        <v>1185621.1599999999</v>
      </c>
      <c r="IR35" s="188">
        <f t="shared" si="178"/>
        <v>0</v>
      </c>
      <c r="IS35" s="193">
        <f t="shared" si="178"/>
        <v>6625800</v>
      </c>
      <c r="IT35" s="187">
        <f t="shared" si="178"/>
        <v>6625800</v>
      </c>
      <c r="IU35" s="191">
        <f t="shared" si="178"/>
        <v>0</v>
      </c>
      <c r="IV35" s="187">
        <f t="shared" si="178"/>
        <v>0</v>
      </c>
      <c r="IW35" s="192">
        <f t="shared" si="178"/>
        <v>1557847.01</v>
      </c>
      <c r="IX35" s="187">
        <f t="shared" si="178"/>
        <v>1557847.01</v>
      </c>
      <c r="IY35" s="191">
        <f t="shared" si="178"/>
        <v>0</v>
      </c>
      <c r="IZ35" s="187">
        <f t="shared" si="178"/>
        <v>0</v>
      </c>
      <c r="JA35" s="193">
        <f t="shared" si="178"/>
        <v>0</v>
      </c>
      <c r="JB35" s="187">
        <f t="shared" si="178"/>
        <v>0</v>
      </c>
      <c r="JC35" s="191">
        <f t="shared" si="178"/>
        <v>0</v>
      </c>
      <c r="JD35" s="187">
        <f t="shared" si="178"/>
        <v>0</v>
      </c>
      <c r="JE35" s="192">
        <f t="shared" si="178"/>
        <v>0</v>
      </c>
      <c r="JF35" s="187">
        <f t="shared" si="178"/>
        <v>0</v>
      </c>
      <c r="JG35" s="191">
        <f t="shared" si="178"/>
        <v>0</v>
      </c>
      <c r="JH35" s="187">
        <f t="shared" si="178"/>
        <v>0</v>
      </c>
      <c r="JI35" s="193">
        <f t="shared" si="178"/>
        <v>0</v>
      </c>
      <c r="JJ35" s="187">
        <f t="shared" si="178"/>
        <v>0</v>
      </c>
      <c r="JK35" s="191">
        <f t="shared" si="178"/>
        <v>0</v>
      </c>
      <c r="JL35" s="187">
        <f t="shared" si="178"/>
        <v>0</v>
      </c>
      <c r="JM35" s="192">
        <f t="shared" si="178"/>
        <v>0</v>
      </c>
      <c r="JN35" s="187">
        <f t="shared" si="178"/>
        <v>0</v>
      </c>
      <c r="JO35" s="191">
        <f t="shared" si="178"/>
        <v>0</v>
      </c>
      <c r="JP35" s="187">
        <f t="shared" si="178"/>
        <v>0</v>
      </c>
      <c r="JQ35" s="193">
        <f t="shared" si="178"/>
        <v>478133400</v>
      </c>
      <c r="JR35" s="187">
        <f t="shared" si="178"/>
        <v>478133400</v>
      </c>
      <c r="JS35" s="191">
        <f t="shared" si="178"/>
        <v>0</v>
      </c>
      <c r="JT35" s="187">
        <f t="shared" si="178"/>
        <v>0</v>
      </c>
      <c r="JU35" s="192">
        <f t="shared" si="178"/>
        <v>242221266.41</v>
      </c>
      <c r="JV35" s="187">
        <f t="shared" ref="JV35:LD35" si="179">JV28+JV32</f>
        <v>242221266.41</v>
      </c>
      <c r="JW35" s="191">
        <f t="shared" si="179"/>
        <v>0</v>
      </c>
      <c r="JX35" s="187">
        <f t="shared" si="179"/>
        <v>0</v>
      </c>
      <c r="JY35" s="194">
        <f t="shared" si="179"/>
        <v>0</v>
      </c>
      <c r="JZ35" s="186">
        <f t="shared" si="179"/>
        <v>0</v>
      </c>
      <c r="KA35" s="186">
        <f t="shared" si="179"/>
        <v>0</v>
      </c>
      <c r="KB35" s="187">
        <f t="shared" si="179"/>
        <v>0</v>
      </c>
      <c r="KC35" s="195">
        <f t="shared" si="179"/>
        <v>0</v>
      </c>
      <c r="KD35" s="186">
        <f t="shared" si="179"/>
        <v>0</v>
      </c>
      <c r="KE35" s="187">
        <f t="shared" si="179"/>
        <v>0</v>
      </c>
      <c r="KF35" s="188">
        <f t="shared" si="179"/>
        <v>0</v>
      </c>
      <c r="KG35" s="193">
        <f t="shared" si="179"/>
        <v>219498600</v>
      </c>
      <c r="KH35" s="187">
        <f t="shared" si="179"/>
        <v>117669358.27000001</v>
      </c>
      <c r="KI35" s="191">
        <f t="shared" si="179"/>
        <v>82594827.389999986</v>
      </c>
      <c r="KJ35" s="187">
        <f t="shared" si="179"/>
        <v>19234414.34</v>
      </c>
      <c r="KK35" s="195">
        <f t="shared" si="179"/>
        <v>28900057.550000001</v>
      </c>
      <c r="KL35" s="186">
        <f t="shared" si="179"/>
        <v>8588685.3199999966</v>
      </c>
      <c r="KM35" s="187">
        <f t="shared" si="179"/>
        <v>19375138.780000001</v>
      </c>
      <c r="KN35" s="188">
        <f t="shared" si="179"/>
        <v>936233.45</v>
      </c>
      <c r="KO35" s="193">
        <f t="shared" si="179"/>
        <v>3243333.44</v>
      </c>
      <c r="KP35" s="187">
        <f t="shared" si="179"/>
        <v>0</v>
      </c>
      <c r="KQ35" s="191">
        <f t="shared" si="179"/>
        <v>3243333.44</v>
      </c>
      <c r="KR35" s="187">
        <f t="shared" si="179"/>
        <v>0</v>
      </c>
      <c r="KS35" s="192">
        <f t="shared" si="179"/>
        <v>0</v>
      </c>
      <c r="KT35" s="187">
        <f t="shared" si="179"/>
        <v>0</v>
      </c>
      <c r="KU35" s="191">
        <f t="shared" si="179"/>
        <v>0</v>
      </c>
      <c r="KV35" s="187">
        <f t="shared" si="179"/>
        <v>0</v>
      </c>
      <c r="KW35" s="193">
        <f t="shared" si="179"/>
        <v>1400016000</v>
      </c>
      <c r="KX35" s="186">
        <f t="shared" si="179"/>
        <v>1400016000</v>
      </c>
      <c r="KY35" s="187">
        <f t="shared" si="179"/>
        <v>0</v>
      </c>
      <c r="KZ35" s="188">
        <f t="shared" si="179"/>
        <v>0</v>
      </c>
      <c r="LA35" s="194">
        <f t="shared" si="179"/>
        <v>603766088.17999995</v>
      </c>
      <c r="LB35" s="186">
        <f t="shared" si="179"/>
        <v>603766088.17999995</v>
      </c>
      <c r="LC35" s="187">
        <f t="shared" si="179"/>
        <v>0</v>
      </c>
      <c r="LD35" s="187">
        <f t="shared" si="179"/>
        <v>0</v>
      </c>
    </row>
    <row r="36" spans="1:316" s="202" customFormat="1" ht="16.5" x14ac:dyDescent="0.25">
      <c r="A36" s="196"/>
      <c r="B36" s="197">
        <f>M35-U35-AK35-B35-AC35</f>
        <v>144560414.11000013</v>
      </c>
      <c r="C36" s="198"/>
      <c r="D36" s="198"/>
      <c r="E36" s="198"/>
      <c r="F36" s="197">
        <f>Q35-Y35-AO35-F35-AG35</f>
        <v>0</v>
      </c>
      <c r="G36" s="196"/>
      <c r="H36" s="196"/>
      <c r="I36" s="196"/>
      <c r="J36" s="196"/>
      <c r="K36" s="196"/>
      <c r="L36" s="196"/>
      <c r="M36" s="199">
        <f>M35-N35-O35-P35</f>
        <v>144560414.10999978</v>
      </c>
      <c r="N36" s="200"/>
      <c r="O36" s="200"/>
      <c r="P36" s="200"/>
      <c r="Q36" s="199">
        <f>Q35-R35-S35-T35</f>
        <v>0</v>
      </c>
      <c r="R36" s="200"/>
      <c r="S36" s="200"/>
      <c r="T36" s="200"/>
      <c r="U36" s="199">
        <f>U35-V35-W35-X35</f>
        <v>0</v>
      </c>
      <c r="V36" s="199"/>
      <c r="W36" s="199"/>
      <c r="X36" s="199"/>
      <c r="Y36" s="199">
        <f>Y35-Z35-AA35-AB35</f>
        <v>0</v>
      </c>
      <c r="Z36" s="199"/>
      <c r="AA36" s="199"/>
      <c r="AB36" s="199"/>
      <c r="AC36" s="199">
        <f>AC35-AD35-AE35-AF35</f>
        <v>0</v>
      </c>
      <c r="AD36" s="199"/>
      <c r="AE36" s="199"/>
      <c r="AF36" s="199"/>
      <c r="AG36" s="199">
        <f>AG35-AH35-AI35-AJ35</f>
        <v>0</v>
      </c>
      <c r="AH36" s="199"/>
      <c r="AI36" s="199"/>
      <c r="AJ36" s="199"/>
      <c r="AK36" s="199">
        <f>AK35-AL35-AM35-AN35</f>
        <v>0</v>
      </c>
      <c r="AL36" s="199"/>
      <c r="AM36" s="199"/>
      <c r="AN36" s="199"/>
      <c r="AO36" s="199">
        <f>AO35-AP35-AQ35-AR35</f>
        <v>0</v>
      </c>
      <c r="AP36" s="199"/>
      <c r="AQ36" s="199"/>
      <c r="AR36" s="199"/>
      <c r="AS36" s="199">
        <f>AS35-AT35-AU35-AV35</f>
        <v>0</v>
      </c>
      <c r="AT36" s="199"/>
      <c r="AU36" s="199"/>
      <c r="AV36" s="199"/>
      <c r="AW36" s="199">
        <f>AW35-AX35-AY35-AZ35</f>
        <v>0</v>
      </c>
      <c r="AX36" s="199"/>
      <c r="AY36" s="199"/>
      <c r="AZ36" s="199"/>
      <c r="BA36" s="199">
        <f>BA35-BB35-BC35-BD35</f>
        <v>0</v>
      </c>
      <c r="BB36" s="199"/>
      <c r="BC36" s="199"/>
      <c r="BD36" s="199"/>
      <c r="BE36" s="199">
        <f>BE35-BF35-BG35-BH35</f>
        <v>0</v>
      </c>
      <c r="BF36" s="199"/>
      <c r="BG36" s="199"/>
      <c r="BH36" s="199"/>
      <c r="BI36" s="199">
        <f>BI35-BJ35-BK35-BL35</f>
        <v>0</v>
      </c>
      <c r="BJ36" s="199"/>
      <c r="BK36" s="199"/>
      <c r="BL36" s="199"/>
      <c r="BM36" s="199">
        <f>BM35-BN35-BO35-BP35</f>
        <v>0</v>
      </c>
      <c r="BN36" s="199"/>
      <c r="BO36" s="199"/>
      <c r="BP36" s="199"/>
      <c r="BQ36" s="199">
        <f>BQ35-BR35-BS35-BT35</f>
        <v>0</v>
      </c>
      <c r="BR36" s="201"/>
      <c r="BS36" s="201"/>
      <c r="BT36" s="201"/>
      <c r="BU36" s="199">
        <f>BU35-BV35-BW35-BX35</f>
        <v>0</v>
      </c>
      <c r="BV36" s="201"/>
      <c r="BW36" s="201"/>
      <c r="BX36" s="201"/>
      <c r="BY36" s="199">
        <f>BY35-BZ35-CA35-CB35</f>
        <v>0</v>
      </c>
      <c r="BZ36" s="201"/>
      <c r="CA36" s="201"/>
      <c r="CB36" s="201"/>
      <c r="CC36" s="199">
        <f>CC35-CD35-CE35-CF35</f>
        <v>0</v>
      </c>
      <c r="CD36" s="201"/>
      <c r="CE36" s="201"/>
      <c r="CF36" s="201"/>
      <c r="CG36" s="199">
        <f>CG35-CH35-CI35-CJ35</f>
        <v>0</v>
      </c>
      <c r="CH36" s="201"/>
      <c r="CI36" s="201"/>
      <c r="CJ36" s="201"/>
      <c r="CK36" s="199">
        <f>CK35-CL35-CM35-CN35</f>
        <v>0</v>
      </c>
      <c r="CL36" s="201"/>
      <c r="CM36" s="201"/>
      <c r="CN36" s="201"/>
      <c r="CO36" s="199">
        <f>CO35-CP35-CQ35-CR35</f>
        <v>0</v>
      </c>
      <c r="CP36" s="201"/>
      <c r="CQ36" s="201"/>
      <c r="CR36" s="201"/>
      <c r="CS36" s="199">
        <f>CS35-CT35-CU35-CV35</f>
        <v>0</v>
      </c>
      <c r="CT36" s="201"/>
      <c r="CU36" s="201"/>
      <c r="CV36" s="201"/>
      <c r="CW36" s="199">
        <f>CW35-CX35-CY35-CZ35</f>
        <v>1.862645149230957E-9</v>
      </c>
      <c r="CX36" s="201"/>
      <c r="CY36" s="201"/>
      <c r="CZ36" s="201"/>
      <c r="DA36" s="199">
        <f>DA35-DB35-DC35-DD35</f>
        <v>0</v>
      </c>
      <c r="DB36" s="201"/>
      <c r="DC36" s="201"/>
      <c r="DD36" s="201"/>
      <c r="DE36" s="199">
        <f>DE35-DF35-DG35-DH35</f>
        <v>0</v>
      </c>
      <c r="DF36" s="201"/>
      <c r="DG36" s="201"/>
      <c r="DH36" s="201"/>
      <c r="DI36" s="199">
        <f>DI35-DJ35-DK35-DL35</f>
        <v>0</v>
      </c>
      <c r="DJ36" s="201"/>
      <c r="DK36" s="201"/>
      <c r="DL36" s="201"/>
      <c r="DM36" s="199">
        <f>DM35-DN35-DO35-DP35</f>
        <v>0</v>
      </c>
      <c r="DN36" s="201"/>
      <c r="DO36" s="201"/>
      <c r="DP36" s="201"/>
      <c r="DQ36" s="199">
        <f>DQ35-DR35-DS35-DT35</f>
        <v>0</v>
      </c>
      <c r="DR36" s="201"/>
      <c r="DS36" s="201"/>
      <c r="DT36" s="201"/>
      <c r="DU36" s="199">
        <f>DU35-DV35-DW35-DX35</f>
        <v>0</v>
      </c>
      <c r="DV36" s="201"/>
      <c r="DW36" s="201"/>
      <c r="DX36" s="201"/>
      <c r="DY36" s="199">
        <f>DY35-DZ35-EA35-EB35</f>
        <v>0</v>
      </c>
      <c r="DZ36" s="201"/>
      <c r="EA36" s="201"/>
      <c r="EB36" s="201"/>
      <c r="EC36" s="199">
        <f>EC35-ED35-EE35-EF35</f>
        <v>0</v>
      </c>
      <c r="ED36" s="201"/>
      <c r="EE36" s="201"/>
      <c r="EF36" s="201"/>
      <c r="EG36" s="199">
        <f>EG35-EH35-EI35-EJ35</f>
        <v>0</v>
      </c>
      <c r="EH36" s="201"/>
      <c r="EI36" s="201"/>
      <c r="EJ36" s="201"/>
      <c r="EK36" s="199">
        <f>EK35-EL35-EM35-EN35</f>
        <v>0</v>
      </c>
      <c r="EL36" s="201"/>
      <c r="EM36" s="201"/>
      <c r="EN36" s="201"/>
      <c r="EO36" s="199">
        <f>EO35-EP35-EQ35-ER35</f>
        <v>0</v>
      </c>
      <c r="EP36" s="201"/>
      <c r="EQ36" s="201"/>
      <c r="ER36" s="201"/>
      <c r="ES36" s="199">
        <f>ES35-ET35-EU35-EV35</f>
        <v>0</v>
      </c>
      <c r="ET36" s="201"/>
      <c r="EU36" s="201"/>
      <c r="EV36" s="201"/>
      <c r="EW36" s="199">
        <f>EW35-EX35-EY35-EZ35</f>
        <v>0</v>
      </c>
      <c r="EX36" s="201"/>
      <c r="EY36" s="201"/>
      <c r="EZ36" s="201"/>
      <c r="FA36" s="199">
        <f>FA35-FB35-FC35-FD35</f>
        <v>0</v>
      </c>
      <c r="FB36" s="201"/>
      <c r="FC36" s="201"/>
      <c r="FD36" s="201"/>
      <c r="FE36" s="199">
        <f>FE35-FF35-FG35-FH35</f>
        <v>0</v>
      </c>
      <c r="FF36" s="201"/>
      <c r="FG36" s="201"/>
      <c r="FH36" s="201"/>
      <c r="FI36" s="199">
        <f>FI35-FJ35-FK35-FL35</f>
        <v>0</v>
      </c>
      <c r="FJ36" s="201"/>
      <c r="FK36" s="201"/>
      <c r="FL36" s="201"/>
      <c r="FM36" s="199">
        <f>FM35-FN35-FO35-FP35</f>
        <v>0</v>
      </c>
      <c r="FN36" s="201"/>
      <c r="FO36" s="201"/>
      <c r="FP36" s="201"/>
      <c r="FQ36" s="199">
        <f>FQ35-FR35-FS35-FT35</f>
        <v>0</v>
      </c>
      <c r="FR36" s="201"/>
      <c r="FS36" s="201"/>
      <c r="FT36" s="201"/>
      <c r="FU36" s="199">
        <f>FU35-FV35-FW35-FX35</f>
        <v>0</v>
      </c>
      <c r="FV36" s="201"/>
      <c r="FW36" s="201"/>
      <c r="FX36" s="201"/>
      <c r="FY36" s="199">
        <f>FY35-FZ35-GA35-GB35</f>
        <v>0</v>
      </c>
      <c r="FZ36" s="201"/>
      <c r="GA36" s="201"/>
      <c r="GB36" s="201"/>
      <c r="GC36" s="199">
        <f>GC35-GD35-GE35-GF35</f>
        <v>0</v>
      </c>
      <c r="GD36" s="201"/>
      <c r="GE36" s="201"/>
      <c r="GF36" s="201"/>
      <c r="GG36" s="199">
        <f>GG35-GH35-GI35-GJ35</f>
        <v>0</v>
      </c>
      <c r="GH36" s="201"/>
      <c r="GI36" s="201"/>
      <c r="GJ36" s="201"/>
      <c r="GK36" s="199">
        <f>GK35-GL35-GM35-GN35</f>
        <v>0</v>
      </c>
      <c r="GL36" s="201"/>
      <c r="GM36" s="201"/>
      <c r="GN36" s="201"/>
      <c r="GO36" s="199">
        <f>GO35-GP35-GQ35-GR35</f>
        <v>0</v>
      </c>
      <c r="GP36" s="201"/>
      <c r="GQ36" s="201"/>
      <c r="GR36" s="201"/>
      <c r="GS36" s="199">
        <f>GS35-GT35-GU35-GV35</f>
        <v>0</v>
      </c>
      <c r="GT36" s="201"/>
      <c r="GU36" s="201"/>
      <c r="GV36" s="201"/>
      <c r="GW36" s="199">
        <f>GW35-GX35-GY35-GZ35</f>
        <v>0</v>
      </c>
      <c r="GX36" s="201"/>
      <c r="GY36" s="201"/>
      <c r="GZ36" s="201"/>
      <c r="HA36" s="199">
        <f>HA35-HB35-HC35-HD35</f>
        <v>0</v>
      </c>
      <c r="HB36" s="201"/>
      <c r="HC36" s="201"/>
      <c r="HD36" s="201"/>
      <c r="HE36" s="199">
        <f>HE35-HF35-HG35-HH35</f>
        <v>0</v>
      </c>
      <c r="HF36" s="201"/>
      <c r="HG36" s="201"/>
      <c r="HH36" s="201"/>
      <c r="HI36" s="199">
        <f>HI35-HJ35-HK35-HL35</f>
        <v>0</v>
      </c>
      <c r="HJ36" s="201"/>
      <c r="HK36" s="201"/>
      <c r="HL36" s="201"/>
      <c r="HM36" s="199">
        <f>HM35-HN35-HO35-HP35</f>
        <v>0</v>
      </c>
      <c r="HN36" s="201"/>
      <c r="HO36" s="201"/>
      <c r="HP36" s="201"/>
      <c r="HQ36" s="199">
        <f>HQ35-HR35-HS35-HT35</f>
        <v>5.8207660913467407E-11</v>
      </c>
      <c r="HR36" s="201"/>
      <c r="HS36" s="201"/>
      <c r="HT36" s="201"/>
      <c r="HU36" s="199">
        <f>HU35-HV35-HW35-HX35</f>
        <v>0</v>
      </c>
      <c r="HV36" s="201"/>
      <c r="HW36" s="201"/>
      <c r="HX36" s="201"/>
      <c r="HY36" s="199">
        <f>HY35-HZ35-IA35-IB35</f>
        <v>0</v>
      </c>
      <c r="HZ36" s="201"/>
      <c r="IA36" s="201"/>
      <c r="IB36" s="201"/>
      <c r="IC36" s="199">
        <f>IC35-ID35-IE35-IF35</f>
        <v>144560414.11000001</v>
      </c>
      <c r="ID36" s="201"/>
      <c r="IE36" s="201"/>
      <c r="IF36" s="201"/>
      <c r="IG36" s="199">
        <f>IG35-IH35-II35-IJ35</f>
        <v>0</v>
      </c>
      <c r="IH36" s="201"/>
      <c r="II36" s="201"/>
      <c r="IJ36" s="201"/>
      <c r="IK36" s="199">
        <f>IK35-IL35-IM35-IN35</f>
        <v>0</v>
      </c>
      <c r="IL36" s="201"/>
      <c r="IM36" s="201"/>
      <c r="IN36" s="201"/>
      <c r="IO36" s="199">
        <f>IO35-IP35-IQ35-IR35</f>
        <v>0</v>
      </c>
      <c r="IP36" s="201"/>
      <c r="IQ36" s="201"/>
      <c r="IR36" s="201"/>
      <c r="IS36" s="199">
        <f>IS35-IT35-IU35-IV35</f>
        <v>0</v>
      </c>
      <c r="IT36" s="201"/>
      <c r="IU36" s="201"/>
      <c r="IV36" s="201"/>
      <c r="IW36" s="199">
        <f>IW35-IX35-IY35-IZ35</f>
        <v>0</v>
      </c>
      <c r="IX36" s="201"/>
      <c r="IY36" s="201"/>
      <c r="IZ36" s="201"/>
      <c r="JA36" s="199">
        <f>JA35-JB35-JC35-JD35</f>
        <v>0</v>
      </c>
      <c r="JB36" s="201"/>
      <c r="JC36" s="201"/>
      <c r="JD36" s="201"/>
      <c r="JE36" s="199">
        <f>JE35-JF35-JG35-JH35</f>
        <v>0</v>
      </c>
      <c r="JF36" s="201"/>
      <c r="JG36" s="201"/>
      <c r="JH36" s="201"/>
      <c r="JI36" s="199">
        <f>JI35-JJ35-JK35-JL35</f>
        <v>0</v>
      </c>
      <c r="JJ36" s="201"/>
      <c r="JK36" s="201"/>
      <c r="JL36" s="201"/>
      <c r="JM36" s="199">
        <f>JM35-JN35-JO35-JP35</f>
        <v>0</v>
      </c>
      <c r="JN36" s="201"/>
      <c r="JO36" s="201"/>
      <c r="JP36" s="201"/>
      <c r="JQ36" s="199">
        <f>JQ35-JR35-JS35-JT35</f>
        <v>0</v>
      </c>
      <c r="JR36" s="201"/>
      <c r="JS36" s="201"/>
      <c r="JT36" s="201"/>
      <c r="JU36" s="199">
        <f>JU35-JV35-JW35-JX35</f>
        <v>0</v>
      </c>
      <c r="JV36" s="201"/>
      <c r="JW36" s="201"/>
      <c r="JX36" s="201"/>
      <c r="JY36" s="199">
        <f>JY35-JZ35-KA35-KB35</f>
        <v>0</v>
      </c>
      <c r="JZ36" s="201"/>
      <c r="KA36" s="201"/>
      <c r="KB36" s="201"/>
      <c r="KC36" s="199">
        <f>KC35-KD35-KE35-KF35</f>
        <v>0</v>
      </c>
      <c r="KD36" s="201"/>
      <c r="KE36" s="201"/>
      <c r="KF36" s="201"/>
      <c r="KG36" s="199">
        <f>KG35-KH35-KI35-KJ35</f>
        <v>0</v>
      </c>
      <c r="KH36" s="201"/>
      <c r="KI36" s="201"/>
      <c r="KJ36" s="201"/>
      <c r="KK36" s="199">
        <f>KK35-KL35-KM35-KN35</f>
        <v>3.0267983675003052E-9</v>
      </c>
      <c r="KL36" s="201"/>
      <c r="KM36" s="201"/>
      <c r="KN36" s="201"/>
      <c r="KO36" s="199">
        <f>KO35-KP35-KQ35-KR35</f>
        <v>0</v>
      </c>
      <c r="KP36" s="201"/>
      <c r="KQ36" s="201"/>
      <c r="KR36" s="201"/>
      <c r="KS36" s="199">
        <f>KS35-KT35-KU35-KV35</f>
        <v>0</v>
      </c>
      <c r="KT36" s="201"/>
      <c r="KU36" s="201"/>
      <c r="KV36" s="201"/>
      <c r="KW36" s="199">
        <f>KW35-KX35-KY35-KZ35</f>
        <v>0</v>
      </c>
      <c r="KX36" s="201"/>
      <c r="KY36" s="201"/>
      <c r="KZ36" s="201"/>
      <c r="LA36" s="199">
        <f>LA35-LB35-LC35-LD35</f>
        <v>0</v>
      </c>
      <c r="LB36" s="201"/>
      <c r="LC36" s="201"/>
      <c r="LD36" s="201"/>
    </row>
    <row r="37" spans="1:316" s="207" customFormat="1" ht="36" customHeight="1" x14ac:dyDescent="0.25">
      <c r="A37" s="203"/>
      <c r="B37" s="204">
        <f>B35-'Федеральные  средства  по  МО'!N36</f>
        <v>-144560414.11000061</v>
      </c>
      <c r="C37" s="203"/>
      <c r="D37" s="203"/>
      <c r="E37" s="203"/>
      <c r="F37" s="204">
        <f>F35-'Федеральные  средства  по  МО'!O36</f>
        <v>0</v>
      </c>
      <c r="G37" s="203"/>
      <c r="H37" s="203"/>
      <c r="I37" s="203"/>
      <c r="J37" s="203"/>
      <c r="K37" s="203"/>
      <c r="L37" s="203"/>
      <c r="M37" s="205">
        <f>M35-'Федеральные  средства  по  МО'!N36-'Федеральные  средства  по  МО'!D36</f>
        <v>0</v>
      </c>
      <c r="N37" s="206"/>
      <c r="O37" s="206"/>
      <c r="P37" s="206"/>
      <c r="Q37" s="205">
        <f>Q35-'Федеральные  средства  по  МО'!O36-'Федеральные  средства  по  МО'!E36</f>
        <v>0</v>
      </c>
      <c r="R37" s="206"/>
      <c r="S37" s="206"/>
      <c r="T37" s="206"/>
      <c r="U37" s="1796" t="str">
        <f>'Федеральные  средства  по  МО'!F43</f>
        <v>Целевая  статья  06 1 F3 67483</v>
      </c>
      <c r="V37" s="1797"/>
      <c r="W37" s="1797"/>
      <c r="X37" s="1797"/>
      <c r="Y37" s="1797"/>
      <c r="Z37" s="1797"/>
      <c r="AA37" s="1797"/>
      <c r="AB37" s="1798"/>
      <c r="AC37" s="1799" t="str">
        <f>'Федеральные  средства  по  МО'!H43</f>
        <v>Целевая  статья  06 2 01 09506</v>
      </c>
      <c r="AD37" s="1800"/>
      <c r="AE37" s="1800"/>
      <c r="AF37" s="1800"/>
      <c r="AG37" s="1800"/>
      <c r="AH37" s="1800"/>
      <c r="AI37" s="1800"/>
      <c r="AJ37" s="1801"/>
      <c r="AK37" s="1799" t="str">
        <f>'Федеральные  средства  по  МО'!J43</f>
        <v>Целевая  статья  06 2 01 09507</v>
      </c>
      <c r="AL37" s="1800"/>
      <c r="AM37" s="1800"/>
      <c r="AN37" s="1800"/>
      <c r="AO37" s="1800"/>
      <c r="AP37" s="1800"/>
      <c r="AQ37" s="1800"/>
      <c r="AR37" s="1801"/>
      <c r="AS37" s="1796" t="str">
        <f>'Федеральные  средства  по  МО'!P43</f>
        <v>Целевая  статья  09 1 F1 50212</v>
      </c>
      <c r="AT37" s="1797"/>
      <c r="AU37" s="1797"/>
      <c r="AV37" s="1797"/>
      <c r="AW37" s="1797"/>
      <c r="AX37" s="1797"/>
      <c r="AY37" s="1797"/>
      <c r="AZ37" s="1798"/>
      <c r="BA37" s="1796" t="str">
        <f>'Федеральные  средства  по  МО'!R43</f>
        <v>Целевая  статья  09 1 F1 50213</v>
      </c>
      <c r="BB37" s="1797"/>
      <c r="BC37" s="1797"/>
      <c r="BD37" s="1797"/>
      <c r="BE37" s="1797"/>
      <c r="BF37" s="1797"/>
      <c r="BG37" s="1797"/>
      <c r="BH37" s="1798"/>
      <c r="BI37" s="1796" t="str">
        <f>'Федеральные  средства  по  МО'!T43</f>
        <v>Целевая  статья  09 1 F1 50214</v>
      </c>
      <c r="BJ37" s="1797"/>
      <c r="BK37" s="1797"/>
      <c r="BL37" s="1797"/>
      <c r="BM37" s="1797"/>
      <c r="BN37" s="1797"/>
      <c r="BO37" s="1797"/>
      <c r="BP37" s="1798"/>
      <c r="BQ37" s="1796" t="str">
        <f>'Федеральные  средства  по  МО'!V43</f>
        <v xml:space="preserve">Целевая  статья  04 1 Е2 50980  </v>
      </c>
      <c r="BR37" s="1797"/>
      <c r="BS37" s="1797"/>
      <c r="BT37" s="1797"/>
      <c r="BU37" s="1797"/>
      <c r="BV37" s="1797"/>
      <c r="BW37" s="1797"/>
      <c r="BX37" s="1798"/>
      <c r="BY37" s="1796" t="str">
        <f>'Федеральные  средства  по  МО'!X43</f>
        <v xml:space="preserve">Целевая  статья  03 1 Р5 52281 </v>
      </c>
      <c r="BZ37" s="1797"/>
      <c r="CA37" s="1797"/>
      <c r="CB37" s="1797"/>
      <c r="CC37" s="1797"/>
      <c r="CD37" s="1797"/>
      <c r="CE37" s="1797"/>
      <c r="CF37" s="1798"/>
      <c r="CG37" s="1796" t="str">
        <f>'Федеральные  средства  по  МО'!Z43</f>
        <v>Целевая  статья  04 1 Е1 52390</v>
      </c>
      <c r="CH37" s="1797"/>
      <c r="CI37" s="1797"/>
      <c r="CJ37" s="1797"/>
      <c r="CK37" s="1797"/>
      <c r="CL37" s="1797"/>
      <c r="CM37" s="1797"/>
      <c r="CN37" s="1798"/>
      <c r="CO37" s="1796" t="str">
        <f>'Федеральные  средства  по  МО'!AB43</f>
        <v>Целевая  статья  06 1 F5 52432</v>
      </c>
      <c r="CP37" s="1797"/>
      <c r="CQ37" s="1797"/>
      <c r="CR37" s="1797"/>
      <c r="CS37" s="1797"/>
      <c r="CT37" s="1797"/>
      <c r="CU37" s="1797"/>
      <c r="CV37" s="1798"/>
      <c r="CW37" s="1796" t="str">
        <f>'Федеральные  средства  по  МО'!AD43</f>
        <v>Целевая  статья  20 4 02 R2991</v>
      </c>
      <c r="CX37" s="1797"/>
      <c r="CY37" s="1797"/>
      <c r="CZ37" s="1797"/>
      <c r="DA37" s="1797"/>
      <c r="DB37" s="1797"/>
      <c r="DC37" s="1797"/>
      <c r="DD37" s="1798"/>
      <c r="DE37" s="1796" t="str">
        <f>'Федеральные  средства  по  МО'!AF43</f>
        <v>Целевая  статья  05 4 02 R3530</v>
      </c>
      <c r="DF37" s="1797"/>
      <c r="DG37" s="1797"/>
      <c r="DH37" s="1797"/>
      <c r="DI37" s="1797"/>
      <c r="DJ37" s="1797"/>
      <c r="DK37" s="1797"/>
      <c r="DL37" s="1798"/>
      <c r="DM37" s="1796" t="str">
        <f>'Федеральные  средства  по  МО'!AH43</f>
        <v>Целевая  статья  07 2 03 R3722</v>
      </c>
      <c r="DN37" s="1797"/>
      <c r="DO37" s="1797"/>
      <c r="DP37" s="1797"/>
      <c r="DQ37" s="1797"/>
      <c r="DR37" s="1797"/>
      <c r="DS37" s="1797"/>
      <c r="DT37" s="1798"/>
      <c r="DU37" s="1796" t="str">
        <f>'Федеральные  средства  по  МО'!AJ43</f>
        <v>Целевая  статья  08 1 R1 53940</v>
      </c>
      <c r="DV37" s="1797"/>
      <c r="DW37" s="1797"/>
      <c r="DX37" s="1797"/>
      <c r="DY37" s="1797"/>
      <c r="DZ37" s="1797"/>
      <c r="EA37" s="1797"/>
      <c r="EB37" s="1798"/>
      <c r="EC37" s="1796" t="str">
        <f>'Федеральные  средства  по  МО'!AL43</f>
        <v>Целевая  статья  08 1 R7 54010</v>
      </c>
      <c r="ED37" s="1797"/>
      <c r="EE37" s="1797"/>
      <c r="EF37" s="1797"/>
      <c r="EG37" s="1797"/>
      <c r="EH37" s="1797"/>
      <c r="EI37" s="1797"/>
      <c r="EJ37" s="1798"/>
      <c r="EK37" s="1796" t="str">
        <f>'Федеральные  средства  по  МО'!AN43</f>
        <v>Целевая  статья  06 1 F2 54240</v>
      </c>
      <c r="EL37" s="1797"/>
      <c r="EM37" s="1797"/>
      <c r="EN37" s="1797"/>
      <c r="EO37" s="1797"/>
      <c r="EP37" s="1797"/>
      <c r="EQ37" s="1797"/>
      <c r="ER37" s="1798"/>
      <c r="ES37" s="1796" t="str">
        <f>'Федеральные  средства  по  МО'!AP43</f>
        <v>Целевая  статья  05 1 A3 54530</v>
      </c>
      <c r="ET37" s="1797"/>
      <c r="EU37" s="1797"/>
      <c r="EV37" s="1797"/>
      <c r="EW37" s="1797"/>
      <c r="EX37" s="1797"/>
      <c r="EY37" s="1797"/>
      <c r="EZ37" s="1798"/>
      <c r="FA37" s="1796" t="str">
        <f>'Федеральные  средства  по  МО'!AR43</f>
        <v>Целевая  статья  05 1 A1 54540</v>
      </c>
      <c r="FB37" s="1797"/>
      <c r="FC37" s="1797"/>
      <c r="FD37" s="1797"/>
      <c r="FE37" s="1797"/>
      <c r="FF37" s="1797"/>
      <c r="FG37" s="1797"/>
      <c r="FH37" s="1798"/>
      <c r="FI37" s="1796" t="str">
        <f>'Федеральные  средства  по  МО'!AT43</f>
        <v xml:space="preserve">Целевая  статья  05 4 02 R4660  </v>
      </c>
      <c r="FJ37" s="1797"/>
      <c r="FK37" s="1797"/>
      <c r="FL37" s="1797"/>
      <c r="FM37" s="1797"/>
      <c r="FN37" s="1797"/>
      <c r="FO37" s="1797"/>
      <c r="FP37" s="1798"/>
      <c r="FQ37" s="1796" t="str">
        <f>'Федеральные  средства  по  МО'!AV43</f>
        <v xml:space="preserve">Целевая  статья  05 4 02 R4670  </v>
      </c>
      <c r="FR37" s="1797"/>
      <c r="FS37" s="1797"/>
      <c r="FT37" s="1797"/>
      <c r="FU37" s="1797"/>
      <c r="FV37" s="1797"/>
      <c r="FW37" s="1797"/>
      <c r="FX37" s="1798"/>
      <c r="FY37" s="1796" t="str">
        <f>'Федеральные  средства  по  МО'!AX43</f>
        <v>Целевая  статья  17 2 05 R5990</v>
      </c>
      <c r="FZ37" s="1797"/>
      <c r="GA37" s="1797"/>
      <c r="GB37" s="1797"/>
      <c r="GC37" s="1797"/>
      <c r="GD37" s="1797"/>
      <c r="GE37" s="1797"/>
      <c r="GF37" s="1798"/>
      <c r="GG37" s="1796" t="str">
        <f>'Федеральные  средства  по  МО'!AZ43</f>
        <v xml:space="preserve">Целевая  статья  19 4 01 R5110 </v>
      </c>
      <c r="GH37" s="1797"/>
      <c r="GI37" s="1797"/>
      <c r="GJ37" s="1797"/>
      <c r="GK37" s="1797"/>
      <c r="GL37" s="1797"/>
      <c r="GM37" s="1797"/>
      <c r="GN37" s="1798"/>
      <c r="GO37" s="1796" t="str">
        <f>'Федеральные  средства  по  МО'!BB43</f>
        <v>Целевая  статья  05 1 A1 55131</v>
      </c>
      <c r="GP37" s="1797"/>
      <c r="GQ37" s="1797"/>
      <c r="GR37" s="1797"/>
      <c r="GS37" s="1797"/>
      <c r="GT37" s="1797"/>
      <c r="GU37" s="1797"/>
      <c r="GV37" s="1798"/>
      <c r="GW37" s="1796" t="str">
        <f>'Федеральные  средства  по  МО'!BD43</f>
        <v>Целевая  статья 05 1 A1 5519Б</v>
      </c>
      <c r="GX37" s="1797"/>
      <c r="GY37" s="1797"/>
      <c r="GZ37" s="1797"/>
      <c r="HA37" s="1797"/>
      <c r="HB37" s="1797"/>
      <c r="HC37" s="1797"/>
      <c r="HD37" s="1798"/>
      <c r="HE37" s="1796" t="str">
        <f>'Федеральные  средства  по  МО'!BF43</f>
        <v>Целевая  статья  05 1 A1 55198</v>
      </c>
      <c r="HF37" s="1797"/>
      <c r="HG37" s="1797"/>
      <c r="HH37" s="1797"/>
      <c r="HI37" s="1797"/>
      <c r="HJ37" s="1797"/>
      <c r="HK37" s="1797"/>
      <c r="HL37" s="1798"/>
      <c r="HM37" s="1796" t="str">
        <f>'Федеральные  средства  по  МО'!BH43</f>
        <v xml:space="preserve">Целевая  статья  05 4 02 R5191 </v>
      </c>
      <c r="HN37" s="1797"/>
      <c r="HO37" s="1797"/>
      <c r="HP37" s="1797"/>
      <c r="HQ37" s="1797"/>
      <c r="HR37" s="1797"/>
      <c r="HS37" s="1797"/>
      <c r="HT37" s="1798"/>
      <c r="HU37" s="1796" t="str">
        <f>'Федеральные  средства  по  МО'!BJ43</f>
        <v xml:space="preserve">Целевая  статья  04 1 E1 55200  </v>
      </c>
      <c r="HV37" s="1797"/>
      <c r="HW37" s="1797"/>
      <c r="HX37" s="1797"/>
      <c r="HY37" s="1797"/>
      <c r="HZ37" s="1797"/>
      <c r="IA37" s="1797"/>
      <c r="IB37" s="1798"/>
      <c r="IC37" s="1796" t="str">
        <f>'Федеральные  средства  по  МО'!BL43</f>
        <v>Целевая  статья  06 1 F2 55550</v>
      </c>
      <c r="ID37" s="1797"/>
      <c r="IE37" s="1797"/>
      <c r="IF37" s="1797"/>
      <c r="IG37" s="1797"/>
      <c r="IH37" s="1797"/>
      <c r="II37" s="1797"/>
      <c r="IJ37" s="1798"/>
      <c r="IK37" s="1796" t="str">
        <f>'Федеральные  средства  по  МО'!BN43</f>
        <v>Целевая  статья  07 2 02 R5763</v>
      </c>
      <c r="IL37" s="1797"/>
      <c r="IM37" s="1797"/>
      <c r="IN37" s="1797"/>
      <c r="IO37" s="1797"/>
      <c r="IP37" s="1797"/>
      <c r="IQ37" s="1797"/>
      <c r="IR37" s="1798"/>
      <c r="IS37" s="1796" t="str">
        <f>'Федеральные  средства  по  МО'!BR43</f>
        <v>Целевая  статья  05 1 А1 55840</v>
      </c>
      <c r="IT37" s="1797"/>
      <c r="IU37" s="1797"/>
      <c r="IV37" s="1797"/>
      <c r="IW37" s="1797"/>
      <c r="IX37" s="1797"/>
      <c r="IY37" s="1797"/>
      <c r="IZ37" s="1798"/>
      <c r="JA37" s="1796" t="str">
        <f>'Федеральные  средства  по  МО'!BT43</f>
        <v>Целевая  статья  05 1 A1 55900</v>
      </c>
      <c r="JB37" s="1797"/>
      <c r="JC37" s="1797"/>
      <c r="JD37" s="1797"/>
      <c r="JE37" s="1797"/>
      <c r="JF37" s="1797"/>
      <c r="JG37" s="1797"/>
      <c r="JH37" s="1798"/>
      <c r="JI37" s="1796" t="str">
        <f>'Федеральные  средства  по  МО'!BV43</f>
        <v>Целевая  статья  05 1 A1 55970</v>
      </c>
      <c r="JJ37" s="1797"/>
      <c r="JK37" s="1797"/>
      <c r="JL37" s="1797"/>
      <c r="JM37" s="1797"/>
      <c r="JN37" s="1797"/>
      <c r="JO37" s="1797"/>
      <c r="JP37" s="1798"/>
      <c r="JQ37" s="1796" t="str">
        <f>'Федеральные  средства  по  МО'!BX43</f>
        <v>Целевая  статья  04 2 01 R7501</v>
      </c>
      <c r="JR37" s="1797"/>
      <c r="JS37" s="1797"/>
      <c r="JT37" s="1797"/>
      <c r="JU37" s="1797"/>
      <c r="JV37" s="1797"/>
      <c r="JW37" s="1797"/>
      <c r="JX37" s="1798"/>
      <c r="JY37" s="1796" t="str">
        <f>'Федеральные  средства  по  МО'!BZ43</f>
        <v>Целевая  статья  03 2 01 R7530</v>
      </c>
      <c r="JZ37" s="1797"/>
      <c r="KA37" s="1797"/>
      <c r="KB37" s="1797"/>
      <c r="KC37" s="1797"/>
      <c r="KD37" s="1797"/>
      <c r="KE37" s="1797"/>
      <c r="KF37" s="1798"/>
      <c r="KG37" s="1796" t="str">
        <f>'Федеральные  средства  по  МО'!CB43</f>
        <v>Целевая  статья  07 2 01 R5762</v>
      </c>
      <c r="KH37" s="1797"/>
      <c r="KI37" s="1797"/>
      <c r="KJ37" s="1797"/>
      <c r="KK37" s="1797"/>
      <c r="KL37" s="1797"/>
      <c r="KM37" s="1797"/>
      <c r="KN37" s="1798"/>
      <c r="KO37" s="1796" t="str">
        <f>'Федеральные  средства  по  МО'!CD43</f>
        <v>Целевая  статья  07 2 01 R5768</v>
      </c>
      <c r="KP37" s="1797"/>
      <c r="KQ37" s="1797"/>
      <c r="KR37" s="1797"/>
      <c r="KS37" s="1797"/>
      <c r="KT37" s="1797"/>
      <c r="KU37" s="1797"/>
      <c r="KV37" s="1798"/>
      <c r="KW37" s="1796" t="str">
        <f>'Федеральные  средства  по  МО'!CF43</f>
        <v>Целевая  статья  07 2 04 R5766</v>
      </c>
      <c r="KX37" s="1797"/>
      <c r="KY37" s="1797"/>
      <c r="KZ37" s="1797"/>
      <c r="LA37" s="1797"/>
      <c r="LB37" s="1797"/>
      <c r="LC37" s="1797"/>
      <c r="LD37" s="1798"/>
    </row>
    <row r="38" spans="1:316" s="208" customFormat="1" ht="31.5" x14ac:dyDescent="0.2">
      <c r="B38" s="209" t="s">
        <v>341</v>
      </c>
      <c r="C38" s="209" t="s">
        <v>342</v>
      </c>
      <c r="D38" s="210" t="s">
        <v>343</v>
      </c>
      <c r="E38" s="210" t="s">
        <v>344</v>
      </c>
      <c r="F38" s="210" t="s">
        <v>345</v>
      </c>
      <c r="G38" s="210" t="s">
        <v>346</v>
      </c>
      <c r="H38" s="210" t="s">
        <v>347</v>
      </c>
      <c r="I38" s="210" t="s">
        <v>348</v>
      </c>
      <c r="J38" s="210" t="s">
        <v>349</v>
      </c>
      <c r="K38" s="210" t="s">
        <v>350</v>
      </c>
      <c r="L38" s="210" t="s">
        <v>351</v>
      </c>
      <c r="M38" s="210" t="s">
        <v>352</v>
      </c>
      <c r="AC38" s="1"/>
      <c r="AD38" s="1"/>
      <c r="AE38" s="1"/>
      <c r="AF38" s="1"/>
      <c r="AG38" s="1"/>
      <c r="AH38" s="1"/>
      <c r="AI38" s="1"/>
      <c r="AJ38" s="1"/>
      <c r="AK38" s="1"/>
      <c r="AL38" s="1"/>
      <c r="AM38" s="1"/>
      <c r="AN38" s="1"/>
      <c r="AO38" s="1"/>
      <c r="AP38" s="1"/>
      <c r="AQ38" s="1"/>
      <c r="AR38" s="1"/>
    </row>
    <row r="39" spans="1:316" ht="15.75" x14ac:dyDescent="0.25">
      <c r="B39" s="211">
        <f>D39+F39+H39+J39+L39</f>
        <v>6948581.0325999986</v>
      </c>
      <c r="C39" s="211">
        <f>E39+G39+I39+K39+M39</f>
        <v>2726963.4446799997</v>
      </c>
      <c r="D39" s="212">
        <f>C32/1000</f>
        <v>4039432.5958499988</v>
      </c>
      <c r="E39" s="212">
        <f>G32/1000</f>
        <v>1725580.5414199999</v>
      </c>
      <c r="F39" s="212">
        <f>C28/1000-L39</f>
        <v>1205806.9385299997</v>
      </c>
      <c r="G39" s="212">
        <f>G28/1000-M39</f>
        <v>365933.4442899999</v>
      </c>
      <c r="H39" s="212">
        <f>E28/1000</f>
        <v>476336.64477999997</v>
      </c>
      <c r="I39" s="212">
        <f>I28/1000</f>
        <v>214866.69296999997</v>
      </c>
      <c r="J39" s="212">
        <f>D28/1000</f>
        <v>122583.95963</v>
      </c>
      <c r="K39" s="212">
        <f>H28/1000</f>
        <v>36804.858410000001</v>
      </c>
      <c r="L39" s="212">
        <f>(C10+C14+C18+C23)/1000</f>
        <v>1104420.89381</v>
      </c>
      <c r="M39" s="212">
        <f>(G10+G14+G18+G23)/1000</f>
        <v>383777.90758999996</v>
      </c>
    </row>
    <row r="40" spans="1:316" ht="30.95" customHeight="1" x14ac:dyDescent="0.2">
      <c r="B40" s="209" t="s">
        <v>353</v>
      </c>
      <c r="C40" s="209" t="s">
        <v>354</v>
      </c>
      <c r="D40" s="210" t="s">
        <v>343</v>
      </c>
      <c r="E40" s="210" t="s">
        <v>344</v>
      </c>
      <c r="F40" s="210" t="s">
        <v>345</v>
      </c>
      <c r="G40" s="210" t="s">
        <v>346</v>
      </c>
      <c r="H40" s="210" t="s">
        <v>347</v>
      </c>
      <c r="I40" s="210" t="s">
        <v>348</v>
      </c>
      <c r="J40" s="210" t="s">
        <v>349</v>
      </c>
      <c r="K40" s="210" t="s">
        <v>350</v>
      </c>
      <c r="L40" s="210" t="s">
        <v>351</v>
      </c>
      <c r="M40" s="210" t="s">
        <v>352</v>
      </c>
    </row>
    <row r="41" spans="1:316" ht="15.75" x14ac:dyDescent="0.25">
      <c r="B41" s="211">
        <f>D41+F41+H41+J41+L41</f>
        <v>353435</v>
      </c>
      <c r="C41" s="211">
        <f>E41+G41+I41+K41+M41</f>
        <v>3599</v>
      </c>
      <c r="D41" s="212">
        <f>(V32+AD32)/1000</f>
        <v>37759</v>
      </c>
      <c r="E41" s="212">
        <f>(Z32+AP32)/1000</f>
        <v>0</v>
      </c>
      <c r="F41" s="212">
        <f>(V28+AL28)/1000-L41</f>
        <v>106924.33905000001</v>
      </c>
      <c r="G41" s="212">
        <f>(Z28+AP28)/1000-M41</f>
        <v>3599</v>
      </c>
      <c r="H41" s="212">
        <f>(X28+AN28)/1000</f>
        <v>0</v>
      </c>
      <c r="I41" s="212">
        <f>(AB28+AR28)/1000</f>
        <v>0</v>
      </c>
      <c r="J41" s="212">
        <f>(W28+AM28)/1000</f>
        <v>0</v>
      </c>
      <c r="K41" s="212">
        <f>(AA28+AQ28)/1000</f>
        <v>0</v>
      </c>
      <c r="L41" s="212">
        <f>(V10+V14+V18+V23+AL10+AL14+AL18+AL23+AD10+AD14+AD18+AD23)/1000</f>
        <v>208751.66094999999</v>
      </c>
      <c r="M41" s="212">
        <f>(Z10+Z14+Z18+Z23+AP10+AP14+AP18+AP23+AH10+AH14+AH18+AH23)/1000</f>
        <v>0</v>
      </c>
    </row>
    <row r="43" spans="1:316" ht="18" x14ac:dyDescent="0.25">
      <c r="B43" s="213">
        <f>B39+B41-M35/1000</f>
        <v>-1012950.8599000005</v>
      </c>
      <c r="C43" s="213">
        <f>C39+C41-Q35/1000</f>
        <v>0</v>
      </c>
    </row>
  </sheetData>
  <mergeCells count="105">
    <mergeCell ref="AC37:AJ37"/>
    <mergeCell ref="AC7:AR7"/>
    <mergeCell ref="AK8:AR8"/>
    <mergeCell ref="AC8:AJ8"/>
    <mergeCell ref="I7:I9"/>
    <mergeCell ref="M7:M9"/>
    <mergeCell ref="N7:N9"/>
    <mergeCell ref="O7:O9"/>
    <mergeCell ref="P7:P9"/>
    <mergeCell ref="Q7:Q9"/>
    <mergeCell ref="A6:A8"/>
    <mergeCell ref="B6:I6"/>
    <mergeCell ref="M6:T6"/>
    <mergeCell ref="B7:B9"/>
    <mergeCell ref="C7:C9"/>
    <mergeCell ref="D7:D9"/>
    <mergeCell ref="E7:E9"/>
    <mergeCell ref="F7:F9"/>
    <mergeCell ref="G7:G9"/>
    <mergeCell ref="H7:H9"/>
    <mergeCell ref="ES7:EZ8"/>
    <mergeCell ref="FA7:FH8"/>
    <mergeCell ref="BQ7:BX8"/>
    <mergeCell ref="BY7:CF7"/>
    <mergeCell ref="CG7:CN8"/>
    <mergeCell ref="CO7:CV8"/>
    <mergeCell ref="CW7:DD7"/>
    <mergeCell ref="DE7:DL8"/>
    <mergeCell ref="R7:R9"/>
    <mergeCell ref="S7:S9"/>
    <mergeCell ref="T7:T9"/>
    <mergeCell ref="U7:AB8"/>
    <mergeCell ref="AS7:BP7"/>
    <mergeCell ref="KW8:LD8"/>
    <mergeCell ref="U37:AB37"/>
    <mergeCell ref="AK37:AR37"/>
    <mergeCell ref="AS37:AZ37"/>
    <mergeCell ref="BA37:BH37"/>
    <mergeCell ref="BI37:BP37"/>
    <mergeCell ref="BQ37:BX37"/>
    <mergeCell ref="JY7:KF7"/>
    <mergeCell ref="KG7:LD7"/>
    <mergeCell ref="AS8:AZ8"/>
    <mergeCell ref="BA8:BH8"/>
    <mergeCell ref="BI8:BP8"/>
    <mergeCell ref="BY8:CF8"/>
    <mergeCell ref="CW8:DD8"/>
    <mergeCell ref="FY8:GF8"/>
    <mergeCell ref="GG8:GN8"/>
    <mergeCell ref="GO8:GV8"/>
    <mergeCell ref="IC7:IJ7"/>
    <mergeCell ref="IK7:IR7"/>
    <mergeCell ref="IS7:IZ8"/>
    <mergeCell ref="JA7:JH8"/>
    <mergeCell ref="JI7:JP8"/>
    <mergeCell ref="JQ7:JX8"/>
    <mergeCell ref="IC8:IJ8"/>
    <mergeCell ref="BY37:CF37"/>
    <mergeCell ref="CG37:CN37"/>
    <mergeCell ref="CO37:CV37"/>
    <mergeCell ref="CW37:DD37"/>
    <mergeCell ref="DE37:DL37"/>
    <mergeCell ref="DM37:DT37"/>
    <mergeCell ref="JY8:KF8"/>
    <mergeCell ref="KG8:KN8"/>
    <mergeCell ref="KO8:KV8"/>
    <mergeCell ref="IK8:IR8"/>
    <mergeCell ref="FI7:FP8"/>
    <mergeCell ref="FQ7:FX8"/>
    <mergeCell ref="FY7:GN7"/>
    <mergeCell ref="GO7:GV7"/>
    <mergeCell ref="GW7:HT7"/>
    <mergeCell ref="HU7:IB7"/>
    <mergeCell ref="GW8:HD8"/>
    <mergeCell ref="HE8:HL8"/>
    <mergeCell ref="HM8:HT8"/>
    <mergeCell ref="HU8:IB8"/>
    <mergeCell ref="DM7:DT8"/>
    <mergeCell ref="DU7:EB8"/>
    <mergeCell ref="EC7:EJ8"/>
    <mergeCell ref="EK7:ER8"/>
    <mergeCell ref="FQ37:FX37"/>
    <mergeCell ref="FY37:GF37"/>
    <mergeCell ref="GG37:GN37"/>
    <mergeCell ref="GO37:GV37"/>
    <mergeCell ref="GW37:HD37"/>
    <mergeCell ref="HE37:HL37"/>
    <mergeCell ref="DU37:EB37"/>
    <mergeCell ref="EC37:EJ37"/>
    <mergeCell ref="EK37:ER37"/>
    <mergeCell ref="ES37:EZ37"/>
    <mergeCell ref="FA37:FH37"/>
    <mergeCell ref="FI37:FP37"/>
    <mergeCell ref="JI37:JP37"/>
    <mergeCell ref="JQ37:JX37"/>
    <mergeCell ref="JY37:KF37"/>
    <mergeCell ref="KG37:KN37"/>
    <mergeCell ref="KO37:KV37"/>
    <mergeCell ref="KW37:LD37"/>
    <mergeCell ref="HM37:HT37"/>
    <mergeCell ref="HU37:IB37"/>
    <mergeCell ref="IC37:IJ37"/>
    <mergeCell ref="IK37:IR37"/>
    <mergeCell ref="IS37:IZ37"/>
    <mergeCell ref="JA37:JH37"/>
  </mergeCells>
  <pageMargins left="0.78740157480314965" right="0.39370078740157483" top="0.59055118110236227" bottom="0.59055118110236227" header="0.51181102362204722" footer="0.51181102362204722"/>
  <pageSetup paperSize="9" scale="44" fitToWidth="50" orientation="landscape" horizontalDpi="300" verticalDpi="300" r:id="rId1"/>
  <headerFooter alignWithMargins="0">
    <oddFooter>&amp;L&amp;P&amp;R&amp;Z&amp;F&amp;A</oddFooter>
  </headerFooter>
  <colBreaks count="6" manualBreakCount="6">
    <brk id="12" max="1048575" man="1"/>
    <brk id="44" max="1048575" man="1"/>
    <brk id="68" max="1048575" man="1"/>
    <brk id="80" max="1048575" man="1"/>
    <brk id="168" max="1048575" man="1"/>
    <brk id="22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E250"/>
  <sheetViews>
    <sheetView zoomScale="80" zoomScaleNormal="80" workbookViewId="0">
      <pane xSplit="2" ySplit="5" topLeftCell="C6" activePane="bottomRight" state="frozen"/>
      <selection pane="topRight" activeCell="C1" sqref="C1"/>
      <selection pane="bottomLeft" activeCell="A6" sqref="A6"/>
      <selection pane="bottomRight" activeCell="C5" sqref="C5:D227"/>
    </sheetView>
  </sheetViews>
  <sheetFormatPr defaultColWidth="8.7109375" defaultRowHeight="15.75" x14ac:dyDescent="0.2"/>
  <cols>
    <col min="1" max="1" width="34.140625" style="23" customWidth="1"/>
    <col min="2" max="2" width="40.5703125" style="23" customWidth="1"/>
    <col min="3" max="3" width="16.5703125" style="1" customWidth="1"/>
    <col min="4" max="4" width="16" style="1" customWidth="1"/>
    <col min="5" max="5" width="18.7109375" style="8" bestFit="1" customWidth="1"/>
    <col min="6" max="16384" width="8.7109375" style="1"/>
  </cols>
  <sheetData>
    <row r="2" spans="1:5" ht="15.6" customHeight="1" x14ac:dyDescent="0.25">
      <c r="A2" s="1819" t="s">
        <v>32</v>
      </c>
      <c r="B2" s="1819"/>
      <c r="C2" s="1819"/>
      <c r="D2" s="1819"/>
      <c r="E2" s="1819"/>
    </row>
    <row r="4" spans="1:5" ht="47.25" x14ac:dyDescent="0.2">
      <c r="A4" s="5" t="s">
        <v>1</v>
      </c>
      <c r="B4" s="6" t="s">
        <v>33</v>
      </c>
      <c r="C4" s="7" t="s">
        <v>6</v>
      </c>
      <c r="D4" s="7" t="s">
        <v>7</v>
      </c>
    </row>
    <row r="5" spans="1:5" x14ac:dyDescent="0.2">
      <c r="A5" s="9"/>
      <c r="B5" s="10"/>
      <c r="C5" s="11">
        <v>46452800</v>
      </c>
      <c r="D5" s="11">
        <v>15931132.43</v>
      </c>
      <c r="E5" s="8">
        <f>SUM(E6:E227)-D5</f>
        <v>0</v>
      </c>
    </row>
    <row r="6" spans="1:5" ht="25.5" x14ac:dyDescent="0.2">
      <c r="A6" s="1090" t="s">
        <v>34</v>
      </c>
      <c r="B6" s="13" t="s">
        <v>35</v>
      </c>
      <c r="C6" s="14">
        <v>2362800</v>
      </c>
      <c r="D6" s="14">
        <v>287629.21000000002</v>
      </c>
      <c r="E6" s="15">
        <f>D6</f>
        <v>287629.21000000002</v>
      </c>
    </row>
    <row r="7" spans="1:5" ht="25.5" x14ac:dyDescent="0.2">
      <c r="A7" s="1090" t="s">
        <v>82</v>
      </c>
      <c r="B7" s="13" t="s">
        <v>83</v>
      </c>
      <c r="C7" s="14">
        <v>2743300</v>
      </c>
      <c r="D7" s="14">
        <v>340854.24</v>
      </c>
      <c r="E7" s="15">
        <f>D7</f>
        <v>340854.24</v>
      </c>
    </row>
    <row r="8" spans="1:5" ht="25.5" x14ac:dyDescent="0.2">
      <c r="A8" s="1090" t="s">
        <v>1321</v>
      </c>
      <c r="B8" s="13" t="s">
        <v>129</v>
      </c>
      <c r="C8" s="14">
        <v>2029300</v>
      </c>
      <c r="D8" s="14">
        <v>270776.5</v>
      </c>
      <c r="E8" s="15">
        <f>D8</f>
        <v>270776.5</v>
      </c>
    </row>
    <row r="9" spans="1:5" ht="25.5" x14ac:dyDescent="0.2">
      <c r="A9" s="1090" t="s">
        <v>184</v>
      </c>
      <c r="B9" s="13" t="s">
        <v>185</v>
      </c>
      <c r="C9" s="14">
        <v>2348100</v>
      </c>
      <c r="D9" s="14">
        <v>70242.75</v>
      </c>
      <c r="E9" s="15">
        <f>D9</f>
        <v>70242.75</v>
      </c>
    </row>
    <row r="10" spans="1:5" ht="38.25" x14ac:dyDescent="0.2">
      <c r="A10" s="16" t="s">
        <v>11</v>
      </c>
      <c r="B10" s="13" t="s">
        <v>36</v>
      </c>
      <c r="C10" s="14">
        <v>327400</v>
      </c>
      <c r="D10" s="14">
        <v>157205.18</v>
      </c>
      <c r="E10" s="15">
        <f>SUM(D10:D25)</f>
        <v>1370410.1199999999</v>
      </c>
    </row>
    <row r="11" spans="1:5" ht="38.25" x14ac:dyDescent="0.2">
      <c r="A11" s="17" t="s">
        <v>11</v>
      </c>
      <c r="B11" s="13" t="s">
        <v>37</v>
      </c>
      <c r="C11" s="14">
        <v>138100</v>
      </c>
      <c r="D11" s="14">
        <v>50106.15</v>
      </c>
    </row>
    <row r="12" spans="1:5" ht="38.25" x14ac:dyDescent="0.2">
      <c r="A12" s="17" t="s">
        <v>11</v>
      </c>
      <c r="B12" s="13" t="s">
        <v>38</v>
      </c>
      <c r="C12" s="14">
        <v>136800</v>
      </c>
      <c r="D12" s="14">
        <v>55987.9</v>
      </c>
    </row>
    <row r="13" spans="1:5" ht="38.25" x14ac:dyDescent="0.2">
      <c r="A13" s="17" t="s">
        <v>11</v>
      </c>
      <c r="B13" s="13" t="s">
        <v>39</v>
      </c>
      <c r="C13" s="14">
        <v>135500</v>
      </c>
      <c r="D13" s="14">
        <v>64670.74</v>
      </c>
    </row>
    <row r="14" spans="1:5" ht="38.25" x14ac:dyDescent="0.2">
      <c r="A14" s="17" t="s">
        <v>11</v>
      </c>
      <c r="B14" s="13" t="s">
        <v>40</v>
      </c>
      <c r="C14" s="14">
        <v>136900</v>
      </c>
      <c r="D14" s="14">
        <v>45204.12</v>
      </c>
    </row>
    <row r="15" spans="1:5" ht="38.25" x14ac:dyDescent="0.2">
      <c r="A15" s="17" t="s">
        <v>11</v>
      </c>
      <c r="B15" s="13" t="s">
        <v>41</v>
      </c>
      <c r="C15" s="14">
        <v>326800</v>
      </c>
      <c r="D15" s="14">
        <v>134877.12</v>
      </c>
    </row>
    <row r="16" spans="1:5" ht="38.25" x14ac:dyDescent="0.2">
      <c r="A16" s="17" t="s">
        <v>11</v>
      </c>
      <c r="B16" s="13" t="s">
        <v>42</v>
      </c>
      <c r="C16" s="14">
        <v>135800</v>
      </c>
      <c r="D16" s="14">
        <v>63227.64</v>
      </c>
    </row>
    <row r="17" spans="1:5" ht="38.25" x14ac:dyDescent="0.2">
      <c r="A17" s="17" t="s">
        <v>11</v>
      </c>
      <c r="B17" s="13" t="s">
        <v>43</v>
      </c>
      <c r="C17" s="14">
        <v>136800</v>
      </c>
      <c r="D17" s="14">
        <v>68128.490000000005</v>
      </c>
    </row>
    <row r="18" spans="1:5" ht="38.25" x14ac:dyDescent="0.2">
      <c r="A18" s="17" t="s">
        <v>11</v>
      </c>
      <c r="B18" s="13" t="s">
        <v>44</v>
      </c>
      <c r="C18" s="14">
        <v>137300</v>
      </c>
      <c r="D18" s="14">
        <v>60127.38</v>
      </c>
    </row>
    <row r="19" spans="1:5" ht="38.25" x14ac:dyDescent="0.2">
      <c r="A19" s="17" t="s">
        <v>11</v>
      </c>
      <c r="B19" s="13" t="s">
        <v>45</v>
      </c>
      <c r="C19" s="14">
        <v>137200</v>
      </c>
      <c r="D19" s="14">
        <v>46604.21</v>
      </c>
    </row>
    <row r="20" spans="1:5" ht="38.25" x14ac:dyDescent="0.2">
      <c r="A20" s="17" t="s">
        <v>11</v>
      </c>
      <c r="B20" s="13" t="s">
        <v>46</v>
      </c>
      <c r="C20" s="14">
        <v>327200</v>
      </c>
      <c r="D20" s="14">
        <v>147099.63</v>
      </c>
    </row>
    <row r="21" spans="1:5" ht="38.25" x14ac:dyDescent="0.2">
      <c r="A21" s="17" t="s">
        <v>11</v>
      </c>
      <c r="B21" s="13" t="s">
        <v>47</v>
      </c>
      <c r="C21" s="14">
        <v>327800</v>
      </c>
      <c r="D21" s="14">
        <v>156247.06</v>
      </c>
    </row>
    <row r="22" spans="1:5" ht="38.25" x14ac:dyDescent="0.2">
      <c r="A22" s="17" t="s">
        <v>11</v>
      </c>
      <c r="B22" s="13" t="s">
        <v>48</v>
      </c>
      <c r="C22" s="14">
        <v>138900</v>
      </c>
      <c r="D22" s="14">
        <v>61182.38</v>
      </c>
    </row>
    <row r="23" spans="1:5" ht="38.25" x14ac:dyDescent="0.2">
      <c r="A23" s="17" t="s">
        <v>11</v>
      </c>
      <c r="B23" s="13" t="s">
        <v>49</v>
      </c>
      <c r="C23" s="14">
        <v>135900</v>
      </c>
      <c r="D23" s="14">
        <v>53862.48</v>
      </c>
    </row>
    <row r="24" spans="1:5" ht="38.25" x14ac:dyDescent="0.2">
      <c r="A24" s="17" t="s">
        <v>11</v>
      </c>
      <c r="B24" s="13" t="s">
        <v>50</v>
      </c>
      <c r="C24" s="14">
        <v>327700</v>
      </c>
      <c r="D24" s="14">
        <v>150301.04</v>
      </c>
    </row>
    <row r="25" spans="1:5" ht="38.25" x14ac:dyDescent="0.2">
      <c r="A25" s="17" t="s">
        <v>11</v>
      </c>
      <c r="B25" s="13" t="s">
        <v>51</v>
      </c>
      <c r="C25" s="14">
        <v>136000</v>
      </c>
      <c r="D25" s="14">
        <v>55578.6</v>
      </c>
    </row>
    <row r="26" spans="1:5" ht="38.25" x14ac:dyDescent="0.2">
      <c r="A26" s="16" t="s">
        <v>13</v>
      </c>
      <c r="B26" s="13" t="s">
        <v>52</v>
      </c>
      <c r="C26" s="14">
        <v>137300</v>
      </c>
      <c r="D26" s="14">
        <v>50106.17</v>
      </c>
      <c r="E26" s="15">
        <f>SUM(D26:D39)</f>
        <v>730707.38</v>
      </c>
    </row>
    <row r="27" spans="1:5" ht="38.25" x14ac:dyDescent="0.2">
      <c r="A27" s="17" t="s">
        <v>13</v>
      </c>
      <c r="B27" s="13" t="s">
        <v>53</v>
      </c>
      <c r="C27" s="14">
        <v>137300</v>
      </c>
      <c r="D27" s="14">
        <v>50106.15</v>
      </c>
    </row>
    <row r="28" spans="1:5" ht="38.25" x14ac:dyDescent="0.2">
      <c r="A28" s="17" t="s">
        <v>13</v>
      </c>
      <c r="B28" s="13" t="s">
        <v>54</v>
      </c>
      <c r="C28" s="14">
        <v>135300</v>
      </c>
      <c r="D28" s="14">
        <v>59306.74</v>
      </c>
    </row>
    <row r="29" spans="1:5" ht="38.25" x14ac:dyDescent="0.2">
      <c r="A29" s="17" t="s">
        <v>13</v>
      </c>
      <c r="B29" s="13" t="s">
        <v>55</v>
      </c>
      <c r="C29" s="14">
        <v>137200</v>
      </c>
      <c r="D29" s="14">
        <v>53145.45</v>
      </c>
    </row>
    <row r="30" spans="1:5" ht="38.25" x14ac:dyDescent="0.2">
      <c r="A30" s="17" t="s">
        <v>13</v>
      </c>
      <c r="B30" s="13" t="s">
        <v>56</v>
      </c>
      <c r="C30" s="14">
        <v>136000</v>
      </c>
      <c r="D30" s="14">
        <v>49604.09</v>
      </c>
    </row>
    <row r="31" spans="1:5" ht="38.25" x14ac:dyDescent="0.2">
      <c r="A31" s="17" t="s">
        <v>13</v>
      </c>
      <c r="B31" s="13" t="s">
        <v>57</v>
      </c>
      <c r="C31" s="14">
        <v>135800</v>
      </c>
      <c r="D31" s="14">
        <v>55079.56</v>
      </c>
    </row>
    <row r="32" spans="1:5" ht="38.25" x14ac:dyDescent="0.2">
      <c r="A32" s="17" t="s">
        <v>13</v>
      </c>
      <c r="B32" s="13" t="s">
        <v>58</v>
      </c>
      <c r="C32" s="14">
        <v>134800</v>
      </c>
      <c r="D32" s="14">
        <v>50106.15</v>
      </c>
    </row>
    <row r="33" spans="1:5" ht="38.25" x14ac:dyDescent="0.2">
      <c r="A33" s="17" t="s">
        <v>13</v>
      </c>
      <c r="B33" s="13" t="s">
        <v>59</v>
      </c>
      <c r="C33" s="14">
        <v>138300</v>
      </c>
      <c r="D33" s="14">
        <v>51797.98</v>
      </c>
    </row>
    <row r="34" spans="1:5" ht="38.25" x14ac:dyDescent="0.2">
      <c r="A34" s="17" t="s">
        <v>13</v>
      </c>
      <c r="B34" s="13" t="s">
        <v>60</v>
      </c>
      <c r="C34" s="14">
        <v>134200</v>
      </c>
      <c r="D34" s="14">
        <v>55938.74</v>
      </c>
    </row>
    <row r="35" spans="1:5" ht="38.25" x14ac:dyDescent="0.2">
      <c r="A35" s="17" t="s">
        <v>13</v>
      </c>
      <c r="B35" s="13" t="s">
        <v>61</v>
      </c>
      <c r="C35" s="14">
        <v>137900</v>
      </c>
      <c r="D35" s="14">
        <v>57461.42</v>
      </c>
    </row>
    <row r="36" spans="1:5" ht="38.25" x14ac:dyDescent="0.2">
      <c r="A36" s="17" t="s">
        <v>13</v>
      </c>
      <c r="B36" s="13" t="s">
        <v>62</v>
      </c>
      <c r="C36" s="14">
        <v>328200</v>
      </c>
      <c r="D36" s="14">
        <v>50106.15</v>
      </c>
    </row>
    <row r="37" spans="1:5" ht="38.25" x14ac:dyDescent="0.2">
      <c r="A37" s="17" t="s">
        <v>13</v>
      </c>
      <c r="B37" s="13" t="s">
        <v>63</v>
      </c>
      <c r="C37" s="14">
        <v>135800</v>
      </c>
      <c r="D37" s="14">
        <v>54347.55</v>
      </c>
    </row>
    <row r="38" spans="1:5" ht="38.25" x14ac:dyDescent="0.2">
      <c r="A38" s="17" t="s">
        <v>13</v>
      </c>
      <c r="B38" s="13" t="s">
        <v>64</v>
      </c>
      <c r="C38" s="14">
        <v>137300</v>
      </c>
      <c r="D38" s="14">
        <v>50106.2</v>
      </c>
    </row>
    <row r="39" spans="1:5" ht="38.25" x14ac:dyDescent="0.2">
      <c r="A39" s="17" t="s">
        <v>13</v>
      </c>
      <c r="B39" s="13" t="s">
        <v>65</v>
      </c>
      <c r="C39" s="14">
        <v>135300</v>
      </c>
      <c r="D39" s="14">
        <v>43495.03</v>
      </c>
    </row>
    <row r="40" spans="1:5" ht="38.25" x14ac:dyDescent="0.2">
      <c r="A40" s="16" t="s">
        <v>16</v>
      </c>
      <c r="B40" s="13" t="s">
        <v>66</v>
      </c>
      <c r="C40" s="14">
        <v>135500</v>
      </c>
      <c r="D40" s="14">
        <v>50106.15</v>
      </c>
      <c r="E40" s="15">
        <f>SUM(D40:D55)</f>
        <v>1172781.24</v>
      </c>
    </row>
    <row r="41" spans="1:5" ht="38.25" x14ac:dyDescent="0.2">
      <c r="A41" s="17" t="s">
        <v>16</v>
      </c>
      <c r="B41" s="13" t="s">
        <v>67</v>
      </c>
      <c r="C41" s="14">
        <v>326300</v>
      </c>
      <c r="D41" s="14">
        <v>145666.72</v>
      </c>
    </row>
    <row r="42" spans="1:5" ht="38.25" x14ac:dyDescent="0.2">
      <c r="A42" s="17" t="s">
        <v>16</v>
      </c>
      <c r="B42" s="13" t="s">
        <v>68</v>
      </c>
      <c r="C42" s="14">
        <v>135500</v>
      </c>
      <c r="D42" s="14">
        <v>50107.45</v>
      </c>
    </row>
    <row r="43" spans="1:5" ht="38.25" x14ac:dyDescent="0.2">
      <c r="A43" s="17" t="s">
        <v>16</v>
      </c>
      <c r="B43" s="13" t="s">
        <v>69</v>
      </c>
      <c r="C43" s="14">
        <v>134800</v>
      </c>
      <c r="D43" s="14">
        <v>32448.41</v>
      </c>
    </row>
    <row r="44" spans="1:5" ht="38.25" x14ac:dyDescent="0.2">
      <c r="A44" s="17" t="s">
        <v>16</v>
      </c>
      <c r="B44" s="13" t="s">
        <v>70</v>
      </c>
      <c r="C44" s="14">
        <v>139500</v>
      </c>
      <c r="D44" s="14">
        <v>50516.22</v>
      </c>
    </row>
    <row r="45" spans="1:5" ht="38.25" x14ac:dyDescent="0.2">
      <c r="A45" s="17" t="s">
        <v>16</v>
      </c>
      <c r="B45" s="13" t="s">
        <v>71</v>
      </c>
      <c r="C45" s="14">
        <v>137500</v>
      </c>
      <c r="D45" s="14">
        <v>66623.47</v>
      </c>
    </row>
    <row r="46" spans="1:5" ht="38.25" x14ac:dyDescent="0.2">
      <c r="A46" s="17" t="s">
        <v>16</v>
      </c>
      <c r="B46" s="13" t="s">
        <v>72</v>
      </c>
      <c r="C46" s="14">
        <v>137500</v>
      </c>
      <c r="D46" s="14">
        <v>50105</v>
      </c>
    </row>
    <row r="47" spans="1:5" ht="38.25" x14ac:dyDescent="0.2">
      <c r="A47" s="17" t="s">
        <v>16</v>
      </c>
      <c r="B47" s="13" t="s">
        <v>73</v>
      </c>
      <c r="C47" s="14">
        <v>135000</v>
      </c>
      <c r="D47" s="14">
        <v>54471</v>
      </c>
    </row>
    <row r="48" spans="1:5" ht="38.25" x14ac:dyDescent="0.2">
      <c r="A48" s="17" t="s">
        <v>16</v>
      </c>
      <c r="B48" s="13" t="s">
        <v>74</v>
      </c>
      <c r="C48" s="14">
        <v>139500</v>
      </c>
      <c r="D48" s="14">
        <v>50105</v>
      </c>
    </row>
    <row r="49" spans="1:5" ht="38.25" x14ac:dyDescent="0.2">
      <c r="A49" s="17" t="s">
        <v>16</v>
      </c>
      <c r="B49" s="13" t="s">
        <v>75</v>
      </c>
      <c r="C49" s="14">
        <v>326400</v>
      </c>
      <c r="D49" s="14">
        <v>149206.16</v>
      </c>
    </row>
    <row r="50" spans="1:5" ht="38.25" x14ac:dyDescent="0.2">
      <c r="A50" s="17" t="s">
        <v>16</v>
      </c>
      <c r="B50" s="13" t="s">
        <v>76</v>
      </c>
      <c r="C50" s="14">
        <v>326100</v>
      </c>
      <c r="D50" s="14">
        <v>125264.4</v>
      </c>
    </row>
    <row r="51" spans="1:5" ht="38.25" x14ac:dyDescent="0.2">
      <c r="A51" s="17" t="s">
        <v>16</v>
      </c>
      <c r="B51" s="13" t="s">
        <v>77</v>
      </c>
      <c r="C51" s="14">
        <v>136200</v>
      </c>
      <c r="D51" s="14">
        <v>65764.19</v>
      </c>
    </row>
    <row r="52" spans="1:5" ht="38.25" x14ac:dyDescent="0.2">
      <c r="A52" s="17" t="s">
        <v>16</v>
      </c>
      <c r="B52" s="13" t="s">
        <v>78</v>
      </c>
      <c r="C52" s="14">
        <v>136200</v>
      </c>
      <c r="D52" s="14">
        <v>56922.65</v>
      </c>
    </row>
    <row r="53" spans="1:5" ht="38.25" x14ac:dyDescent="0.2">
      <c r="A53" s="17" t="s">
        <v>16</v>
      </c>
      <c r="B53" s="13" t="s">
        <v>79</v>
      </c>
      <c r="C53" s="14">
        <v>326200</v>
      </c>
      <c r="D53" s="14">
        <v>125265.42</v>
      </c>
    </row>
    <row r="54" spans="1:5" ht="38.25" x14ac:dyDescent="0.2">
      <c r="A54" s="17" t="s">
        <v>16</v>
      </c>
      <c r="B54" s="13" t="s">
        <v>80</v>
      </c>
      <c r="C54" s="14">
        <v>135100</v>
      </c>
      <c r="D54" s="14">
        <v>50105</v>
      </c>
    </row>
    <row r="55" spans="1:5" ht="38.25" x14ac:dyDescent="0.2">
      <c r="A55" s="17" t="s">
        <v>16</v>
      </c>
      <c r="B55" s="13" t="s">
        <v>81</v>
      </c>
      <c r="C55" s="14">
        <v>137000</v>
      </c>
      <c r="D55" s="14">
        <v>50104</v>
      </c>
    </row>
    <row r="56" spans="1:5" ht="25.5" x14ac:dyDescent="0.2">
      <c r="A56" s="16" t="s">
        <v>17</v>
      </c>
      <c r="B56" s="13" t="s">
        <v>84</v>
      </c>
      <c r="C56" s="14">
        <v>135200</v>
      </c>
      <c r="D56" s="14">
        <v>63396.71</v>
      </c>
      <c r="E56" s="15">
        <f>SUM(D56:D68)</f>
        <v>724825.59999999986</v>
      </c>
    </row>
    <row r="57" spans="1:5" ht="25.5" x14ac:dyDescent="0.2">
      <c r="A57" s="17" t="s">
        <v>17</v>
      </c>
      <c r="B57" s="13" t="s">
        <v>85</v>
      </c>
      <c r="C57" s="14">
        <v>136800</v>
      </c>
      <c r="D57" s="14">
        <v>49155.17</v>
      </c>
    </row>
    <row r="58" spans="1:5" ht="25.5" x14ac:dyDescent="0.2">
      <c r="A58" s="17" t="s">
        <v>17</v>
      </c>
      <c r="B58" s="13" t="s">
        <v>86</v>
      </c>
      <c r="C58" s="14">
        <v>136900</v>
      </c>
      <c r="D58" s="14">
        <v>52320.44</v>
      </c>
    </row>
    <row r="59" spans="1:5" ht="38.25" x14ac:dyDescent="0.2">
      <c r="A59" s="17" t="s">
        <v>17</v>
      </c>
      <c r="B59" s="13" t="s">
        <v>87</v>
      </c>
      <c r="C59" s="14">
        <v>138100</v>
      </c>
      <c r="D59" s="14">
        <v>51465.279999999999</v>
      </c>
    </row>
    <row r="60" spans="1:5" ht="25.5" x14ac:dyDescent="0.2">
      <c r="A60" s="17" t="s">
        <v>17</v>
      </c>
      <c r="B60" s="13" t="s">
        <v>88</v>
      </c>
      <c r="C60" s="14">
        <v>136100</v>
      </c>
      <c r="D60" s="14">
        <v>68050</v>
      </c>
    </row>
    <row r="61" spans="1:5" ht="25.5" x14ac:dyDescent="0.2">
      <c r="A61" s="17" t="s">
        <v>17</v>
      </c>
      <c r="B61" s="13" t="s">
        <v>89</v>
      </c>
      <c r="C61" s="14">
        <v>136600</v>
      </c>
      <c r="D61" s="14">
        <v>61777.32</v>
      </c>
    </row>
    <row r="62" spans="1:5" ht="25.5" x14ac:dyDescent="0.2">
      <c r="A62" s="17" t="s">
        <v>17</v>
      </c>
      <c r="B62" s="13" t="s">
        <v>90</v>
      </c>
      <c r="C62" s="14">
        <v>136900</v>
      </c>
      <c r="D62" s="14">
        <v>59407.88</v>
      </c>
    </row>
    <row r="63" spans="1:5" ht="25.5" x14ac:dyDescent="0.2">
      <c r="A63" s="17" t="s">
        <v>17</v>
      </c>
      <c r="B63" s="13" t="s">
        <v>91</v>
      </c>
      <c r="C63" s="14">
        <v>135300</v>
      </c>
      <c r="D63" s="14">
        <v>61777.32</v>
      </c>
    </row>
    <row r="64" spans="1:5" ht="25.5" x14ac:dyDescent="0.2">
      <c r="A64" s="17" t="s">
        <v>17</v>
      </c>
      <c r="B64" s="13" t="s">
        <v>92</v>
      </c>
      <c r="C64" s="14">
        <v>134800</v>
      </c>
      <c r="D64" s="14">
        <v>44818.86</v>
      </c>
    </row>
    <row r="65" spans="1:5" ht="25.5" x14ac:dyDescent="0.2">
      <c r="A65" s="17" t="s">
        <v>17</v>
      </c>
      <c r="B65" s="13" t="s">
        <v>93</v>
      </c>
      <c r="C65" s="14">
        <v>134400</v>
      </c>
      <c r="D65" s="14">
        <v>54457.440000000002</v>
      </c>
    </row>
    <row r="66" spans="1:5" ht="25.5" x14ac:dyDescent="0.2">
      <c r="A66" s="17" t="s">
        <v>17</v>
      </c>
      <c r="B66" s="13" t="s">
        <v>94</v>
      </c>
      <c r="C66" s="14">
        <v>136200</v>
      </c>
      <c r="D66" s="14">
        <v>49740.66</v>
      </c>
    </row>
    <row r="67" spans="1:5" ht="25.5" x14ac:dyDescent="0.2">
      <c r="A67" s="17" t="s">
        <v>17</v>
      </c>
      <c r="B67" s="13" t="s">
        <v>95</v>
      </c>
      <c r="C67" s="14">
        <v>137200</v>
      </c>
      <c r="D67" s="14">
        <v>46681.2</v>
      </c>
    </row>
    <row r="68" spans="1:5" ht="25.5" x14ac:dyDescent="0.2">
      <c r="A68" s="17" t="s">
        <v>17</v>
      </c>
      <c r="B68" s="13" t="s">
        <v>96</v>
      </c>
      <c r="C68" s="14">
        <v>134800</v>
      </c>
      <c r="D68" s="14">
        <v>61777.32</v>
      </c>
    </row>
    <row r="69" spans="1:5" ht="38.25" x14ac:dyDescent="0.2">
      <c r="A69" s="12" t="s">
        <v>18</v>
      </c>
      <c r="B69" s="13" t="s">
        <v>97</v>
      </c>
      <c r="C69" s="14">
        <v>325700</v>
      </c>
      <c r="D69" s="14">
        <v>140016.68</v>
      </c>
      <c r="E69" s="18">
        <f>SUM(D69:D83)</f>
        <v>1207998</v>
      </c>
    </row>
    <row r="70" spans="1:5" ht="38.25" x14ac:dyDescent="0.2">
      <c r="A70" s="19" t="s">
        <v>18</v>
      </c>
      <c r="B70" s="13" t="s">
        <v>98</v>
      </c>
      <c r="C70" s="14">
        <v>134200</v>
      </c>
      <c r="D70" s="14">
        <v>57080.83</v>
      </c>
    </row>
    <row r="71" spans="1:5" ht="38.25" x14ac:dyDescent="0.2">
      <c r="A71" s="19" t="s">
        <v>18</v>
      </c>
      <c r="B71" s="13" t="s">
        <v>99</v>
      </c>
      <c r="C71" s="14">
        <v>133400</v>
      </c>
      <c r="D71" s="14">
        <v>54406.15</v>
      </c>
    </row>
    <row r="72" spans="1:5" ht="38.25" x14ac:dyDescent="0.2">
      <c r="A72" s="19" t="s">
        <v>18</v>
      </c>
      <c r="B72" s="13" t="s">
        <v>100</v>
      </c>
      <c r="C72" s="14">
        <v>135100</v>
      </c>
      <c r="D72" s="14">
        <v>62750</v>
      </c>
    </row>
    <row r="73" spans="1:5" ht="38.25" x14ac:dyDescent="0.2">
      <c r="A73" s="19" t="s">
        <v>18</v>
      </c>
      <c r="B73" s="13" t="s">
        <v>101</v>
      </c>
      <c r="C73" s="14">
        <v>137200</v>
      </c>
      <c r="D73" s="14">
        <v>60851.95</v>
      </c>
    </row>
    <row r="74" spans="1:5" ht="38.25" x14ac:dyDescent="0.2">
      <c r="A74" s="19" t="s">
        <v>18</v>
      </c>
      <c r="B74" s="13" t="s">
        <v>102</v>
      </c>
      <c r="C74" s="14">
        <v>134800</v>
      </c>
      <c r="D74" s="14">
        <v>45759.58</v>
      </c>
    </row>
    <row r="75" spans="1:5" ht="38.25" x14ac:dyDescent="0.2">
      <c r="A75" s="19" t="s">
        <v>18</v>
      </c>
      <c r="B75" s="13" t="s">
        <v>103</v>
      </c>
      <c r="C75" s="14">
        <v>325200</v>
      </c>
      <c r="D75" s="14">
        <v>129038.26</v>
      </c>
    </row>
    <row r="76" spans="1:5" ht="38.25" x14ac:dyDescent="0.2">
      <c r="A76" s="19" t="s">
        <v>18</v>
      </c>
      <c r="B76" s="13" t="s">
        <v>104</v>
      </c>
      <c r="C76" s="14">
        <v>134300</v>
      </c>
      <c r="D76" s="14">
        <v>50106.15</v>
      </c>
    </row>
    <row r="77" spans="1:5" ht="38.25" x14ac:dyDescent="0.2">
      <c r="A77" s="19" t="s">
        <v>18</v>
      </c>
      <c r="B77" s="13" t="s">
        <v>105</v>
      </c>
      <c r="C77" s="14">
        <v>325000</v>
      </c>
      <c r="D77" s="14">
        <v>162500</v>
      </c>
    </row>
    <row r="78" spans="1:5" ht="38.25" x14ac:dyDescent="0.2">
      <c r="A78" s="19" t="s">
        <v>18</v>
      </c>
      <c r="B78" s="13" t="s">
        <v>106</v>
      </c>
      <c r="C78" s="14">
        <v>136300</v>
      </c>
      <c r="D78" s="14">
        <v>68150</v>
      </c>
    </row>
    <row r="79" spans="1:5" ht="38.25" x14ac:dyDescent="0.2">
      <c r="A79" s="19" t="s">
        <v>18</v>
      </c>
      <c r="B79" s="13" t="s">
        <v>107</v>
      </c>
      <c r="C79" s="14">
        <v>324300</v>
      </c>
      <c r="D79" s="14">
        <v>162150</v>
      </c>
    </row>
    <row r="80" spans="1:5" ht="38.25" x14ac:dyDescent="0.2">
      <c r="A80" s="19" t="s">
        <v>18</v>
      </c>
      <c r="B80" s="13" t="s">
        <v>108</v>
      </c>
      <c r="C80" s="14">
        <v>133800</v>
      </c>
      <c r="D80" s="14">
        <v>56722.63</v>
      </c>
    </row>
    <row r="81" spans="1:5" ht="38.25" x14ac:dyDescent="0.2">
      <c r="A81" s="19" t="s">
        <v>18</v>
      </c>
      <c r="B81" s="13" t="s">
        <v>109</v>
      </c>
      <c r="C81" s="14">
        <v>135100</v>
      </c>
      <c r="D81" s="14">
        <v>51968.959999999999</v>
      </c>
    </row>
    <row r="82" spans="1:5" ht="38.25" x14ac:dyDescent="0.2">
      <c r="A82" s="19" t="s">
        <v>18</v>
      </c>
      <c r="B82" s="13" t="s">
        <v>110</v>
      </c>
      <c r="C82" s="14">
        <v>135400</v>
      </c>
      <c r="D82" s="14">
        <v>54878.19</v>
      </c>
    </row>
    <row r="83" spans="1:5" ht="38.25" x14ac:dyDescent="0.2">
      <c r="A83" s="19" t="s">
        <v>18</v>
      </c>
      <c r="B83" s="13" t="s">
        <v>111</v>
      </c>
      <c r="C83" s="14">
        <v>136600</v>
      </c>
      <c r="D83" s="14">
        <v>51618.62</v>
      </c>
    </row>
    <row r="84" spans="1:5" ht="38.25" x14ac:dyDescent="0.2">
      <c r="A84" s="20" t="s">
        <v>21</v>
      </c>
      <c r="B84" s="13" t="s">
        <v>112</v>
      </c>
      <c r="C84" s="14">
        <v>134800</v>
      </c>
      <c r="D84" s="14">
        <v>60126.39</v>
      </c>
      <c r="E84" s="15">
        <f>SUM(D84:D100)</f>
        <v>1039413.8</v>
      </c>
    </row>
    <row r="85" spans="1:5" ht="38.25" x14ac:dyDescent="0.2">
      <c r="A85" s="21" t="s">
        <v>21</v>
      </c>
      <c r="B85" s="13" t="s">
        <v>113</v>
      </c>
      <c r="C85" s="14">
        <v>136100</v>
      </c>
      <c r="D85" s="14">
        <v>60127.38</v>
      </c>
    </row>
    <row r="86" spans="1:5" ht="38.25" x14ac:dyDescent="0.2">
      <c r="A86" s="21" t="s">
        <v>21</v>
      </c>
      <c r="B86" s="13" t="s">
        <v>114</v>
      </c>
      <c r="C86" s="14">
        <v>325700</v>
      </c>
      <c r="D86" s="14">
        <v>32222.16</v>
      </c>
    </row>
    <row r="87" spans="1:5" ht="38.25" x14ac:dyDescent="0.2">
      <c r="A87" s="21" t="s">
        <v>21</v>
      </c>
      <c r="B87" s="13" t="s">
        <v>115</v>
      </c>
      <c r="C87" s="14">
        <v>137300</v>
      </c>
      <c r="D87" s="14">
        <v>58695.74</v>
      </c>
    </row>
    <row r="88" spans="1:5" ht="38.25" x14ac:dyDescent="0.2">
      <c r="A88" s="21" t="s">
        <v>21</v>
      </c>
      <c r="B88" s="13" t="s">
        <v>116</v>
      </c>
      <c r="C88" s="14">
        <v>135800</v>
      </c>
      <c r="D88" s="14">
        <v>60127.44</v>
      </c>
    </row>
    <row r="89" spans="1:5" ht="38.25" x14ac:dyDescent="0.2">
      <c r="A89" s="21" t="s">
        <v>21</v>
      </c>
      <c r="B89" s="13" t="s">
        <v>117</v>
      </c>
      <c r="C89" s="14">
        <v>329200</v>
      </c>
      <c r="D89" s="14">
        <v>139689.79</v>
      </c>
    </row>
    <row r="90" spans="1:5" ht="38.25" x14ac:dyDescent="0.2">
      <c r="A90" s="21" t="s">
        <v>21</v>
      </c>
      <c r="B90" s="13" t="s">
        <v>118</v>
      </c>
      <c r="C90" s="14">
        <v>137000</v>
      </c>
      <c r="D90" s="14">
        <v>63127.38</v>
      </c>
    </row>
    <row r="91" spans="1:5" ht="38.25" x14ac:dyDescent="0.2">
      <c r="A91" s="21" t="s">
        <v>21</v>
      </c>
      <c r="B91" s="13" t="s">
        <v>119</v>
      </c>
      <c r="C91" s="14">
        <v>135800</v>
      </c>
      <c r="D91" s="14">
        <v>60127.44</v>
      </c>
    </row>
    <row r="92" spans="1:5" ht="38.25" x14ac:dyDescent="0.2">
      <c r="A92" s="21" t="s">
        <v>21</v>
      </c>
      <c r="B92" s="13" t="s">
        <v>120</v>
      </c>
      <c r="C92" s="14">
        <v>136800</v>
      </c>
      <c r="D92" s="14">
        <v>62285.35</v>
      </c>
    </row>
    <row r="93" spans="1:5" ht="38.25" x14ac:dyDescent="0.2">
      <c r="A93" s="21" t="s">
        <v>21</v>
      </c>
      <c r="B93" s="13" t="s">
        <v>121</v>
      </c>
      <c r="C93" s="14">
        <v>134300</v>
      </c>
      <c r="D93" s="14">
        <v>66488.36</v>
      </c>
    </row>
    <row r="94" spans="1:5" ht="38.25" x14ac:dyDescent="0.2">
      <c r="A94" s="21" t="s">
        <v>21</v>
      </c>
      <c r="B94" s="13" t="s">
        <v>122</v>
      </c>
      <c r="C94" s="14">
        <v>137000</v>
      </c>
      <c r="D94" s="14">
        <v>60127.4</v>
      </c>
    </row>
    <row r="95" spans="1:5" ht="38.25" x14ac:dyDescent="0.2">
      <c r="A95" s="21" t="s">
        <v>21</v>
      </c>
      <c r="B95" s="13" t="s">
        <v>123</v>
      </c>
      <c r="C95" s="14">
        <v>136100</v>
      </c>
      <c r="D95" s="14">
        <v>34174.449999999997</v>
      </c>
    </row>
    <row r="96" spans="1:5" ht="38.25" x14ac:dyDescent="0.2">
      <c r="A96" s="21" t="s">
        <v>21</v>
      </c>
      <c r="B96" s="13" t="s">
        <v>124</v>
      </c>
      <c r="C96" s="14">
        <v>139100</v>
      </c>
      <c r="D96" s="14">
        <v>60128.43</v>
      </c>
    </row>
    <row r="97" spans="1:5" ht="38.25" x14ac:dyDescent="0.2">
      <c r="A97" s="21" t="s">
        <v>21</v>
      </c>
      <c r="B97" s="13" t="s">
        <v>125</v>
      </c>
      <c r="C97" s="14">
        <v>138300</v>
      </c>
      <c r="D97" s="14">
        <v>60127.41</v>
      </c>
    </row>
    <row r="98" spans="1:5" ht="38.25" x14ac:dyDescent="0.2">
      <c r="A98" s="21" t="s">
        <v>21</v>
      </c>
      <c r="B98" s="13" t="s">
        <v>126</v>
      </c>
      <c r="C98" s="14">
        <v>136200</v>
      </c>
      <c r="D98" s="14">
        <v>60127.38</v>
      </c>
    </row>
    <row r="99" spans="1:5" ht="38.25" x14ac:dyDescent="0.2">
      <c r="A99" s="21" t="s">
        <v>21</v>
      </c>
      <c r="B99" s="13" t="s">
        <v>127</v>
      </c>
      <c r="C99" s="14">
        <v>139800</v>
      </c>
      <c r="D99" s="14">
        <v>41583.919999999998</v>
      </c>
    </row>
    <row r="100" spans="1:5" ht="38.25" x14ac:dyDescent="0.2">
      <c r="A100" s="21" t="s">
        <v>21</v>
      </c>
      <c r="B100" s="13" t="s">
        <v>128</v>
      </c>
      <c r="C100" s="14">
        <v>136000</v>
      </c>
      <c r="D100" s="14">
        <v>60127.38</v>
      </c>
    </row>
    <row r="101" spans="1:5" ht="38.25" x14ac:dyDescent="0.2">
      <c r="A101" s="12" t="s">
        <v>22</v>
      </c>
      <c r="B101" s="13" t="s">
        <v>130</v>
      </c>
      <c r="C101" s="14">
        <v>324200</v>
      </c>
      <c r="D101" s="14">
        <v>150318.64000000001</v>
      </c>
      <c r="E101" s="15">
        <f>SUM(D101:D107)</f>
        <v>525757.33000000007</v>
      </c>
    </row>
    <row r="102" spans="1:5" ht="38.25" x14ac:dyDescent="0.2">
      <c r="A102" s="19" t="s">
        <v>22</v>
      </c>
      <c r="B102" s="13" t="s">
        <v>131</v>
      </c>
      <c r="C102" s="14">
        <v>135600</v>
      </c>
      <c r="D102" s="14">
        <v>60127.38</v>
      </c>
    </row>
    <row r="103" spans="1:5" ht="38.25" x14ac:dyDescent="0.2">
      <c r="A103" s="19" t="s">
        <v>22</v>
      </c>
      <c r="B103" s="13" t="s">
        <v>132</v>
      </c>
      <c r="C103" s="14">
        <v>135500</v>
      </c>
      <c r="D103" s="14">
        <v>61800</v>
      </c>
    </row>
    <row r="104" spans="1:5" ht="38.25" x14ac:dyDescent="0.2">
      <c r="A104" s="19" t="s">
        <v>22</v>
      </c>
      <c r="B104" s="13" t="s">
        <v>133</v>
      </c>
      <c r="C104" s="14">
        <v>135300</v>
      </c>
      <c r="D104" s="14">
        <v>62555.77</v>
      </c>
    </row>
    <row r="105" spans="1:5" ht="38.25" x14ac:dyDescent="0.2">
      <c r="A105" s="19" t="s">
        <v>22</v>
      </c>
      <c r="B105" s="13" t="s">
        <v>134</v>
      </c>
      <c r="C105" s="14">
        <v>135800</v>
      </c>
      <c r="D105" s="14">
        <v>62277.440000000002</v>
      </c>
    </row>
    <row r="106" spans="1:5" ht="38.25" x14ac:dyDescent="0.2">
      <c r="A106" s="19" t="s">
        <v>22</v>
      </c>
      <c r="B106" s="13" t="s">
        <v>135</v>
      </c>
      <c r="C106" s="14">
        <v>135400</v>
      </c>
      <c r="D106" s="14">
        <v>61800.72</v>
      </c>
    </row>
    <row r="107" spans="1:5" ht="38.25" x14ac:dyDescent="0.2">
      <c r="A107" s="19" t="s">
        <v>22</v>
      </c>
      <c r="B107" s="13" t="s">
        <v>136</v>
      </c>
      <c r="C107" s="14">
        <v>135600</v>
      </c>
      <c r="D107" s="14">
        <v>66877.38</v>
      </c>
    </row>
    <row r="108" spans="1:5" ht="38.25" x14ac:dyDescent="0.2">
      <c r="A108" s="12" t="s">
        <v>25</v>
      </c>
      <c r="B108" s="13" t="s">
        <v>137</v>
      </c>
      <c r="C108" s="14">
        <v>326300</v>
      </c>
      <c r="D108" s="14">
        <v>109211.45</v>
      </c>
      <c r="E108" s="15">
        <f>SUM(D108:D122)</f>
        <v>885159.52999999991</v>
      </c>
    </row>
    <row r="109" spans="1:5" ht="38.25" x14ac:dyDescent="0.2">
      <c r="A109" s="19" t="s">
        <v>25</v>
      </c>
      <c r="B109" s="13" t="s">
        <v>138</v>
      </c>
      <c r="C109" s="14">
        <v>136200</v>
      </c>
      <c r="D109" s="14">
        <v>48618.559999999998</v>
      </c>
    </row>
    <row r="110" spans="1:5" ht="38.25" x14ac:dyDescent="0.2">
      <c r="A110" s="19" t="s">
        <v>25</v>
      </c>
      <c r="B110" s="13" t="s">
        <v>139</v>
      </c>
      <c r="C110" s="14">
        <v>327700</v>
      </c>
      <c r="D110" s="14">
        <v>90137.23</v>
      </c>
    </row>
    <row r="111" spans="1:5" ht="38.25" x14ac:dyDescent="0.2">
      <c r="A111" s="19" t="s">
        <v>25</v>
      </c>
      <c r="B111" s="13" t="s">
        <v>140</v>
      </c>
      <c r="C111" s="14">
        <v>136200</v>
      </c>
      <c r="D111" s="14">
        <v>39282.6</v>
      </c>
    </row>
    <row r="112" spans="1:5" ht="38.25" x14ac:dyDescent="0.2">
      <c r="A112" s="19" t="s">
        <v>25</v>
      </c>
      <c r="B112" s="13" t="s">
        <v>141</v>
      </c>
      <c r="C112" s="14">
        <v>134600</v>
      </c>
      <c r="D112" s="14">
        <v>45981.42</v>
      </c>
    </row>
    <row r="113" spans="1:5" ht="38.25" x14ac:dyDescent="0.2">
      <c r="A113" s="19" t="s">
        <v>25</v>
      </c>
      <c r="B113" s="13" t="s">
        <v>142</v>
      </c>
      <c r="C113" s="14">
        <v>141300</v>
      </c>
      <c r="D113" s="14">
        <v>33695</v>
      </c>
    </row>
    <row r="114" spans="1:5" ht="38.25" x14ac:dyDescent="0.2">
      <c r="A114" s="19" t="s">
        <v>25</v>
      </c>
      <c r="B114" s="13" t="s">
        <v>143</v>
      </c>
      <c r="C114" s="14">
        <v>134100</v>
      </c>
      <c r="D114" s="14">
        <v>30831.360000000001</v>
      </c>
    </row>
    <row r="115" spans="1:5" ht="38.25" x14ac:dyDescent="0.2">
      <c r="A115" s="19" t="s">
        <v>25</v>
      </c>
      <c r="B115" s="13" t="s">
        <v>144</v>
      </c>
      <c r="C115" s="14">
        <v>136900</v>
      </c>
      <c r="D115" s="14">
        <v>33695.75</v>
      </c>
    </row>
    <row r="116" spans="1:5" ht="38.25" x14ac:dyDescent="0.2">
      <c r="A116" s="19" t="s">
        <v>25</v>
      </c>
      <c r="B116" s="13" t="s">
        <v>145</v>
      </c>
      <c r="C116" s="14">
        <v>139500</v>
      </c>
      <c r="D116" s="14">
        <v>32815</v>
      </c>
    </row>
    <row r="117" spans="1:5" ht="38.25" x14ac:dyDescent="0.2">
      <c r="A117" s="19" t="s">
        <v>25</v>
      </c>
      <c r="B117" s="13" t="s">
        <v>146</v>
      </c>
      <c r="C117" s="14">
        <v>134800</v>
      </c>
      <c r="D117" s="14">
        <v>50414.43</v>
      </c>
    </row>
    <row r="118" spans="1:5" ht="38.25" x14ac:dyDescent="0.2">
      <c r="A118" s="19" t="s">
        <v>25</v>
      </c>
      <c r="B118" s="13" t="s">
        <v>147</v>
      </c>
      <c r="C118" s="14">
        <v>325000</v>
      </c>
      <c r="D118" s="14">
        <v>128265.4</v>
      </c>
    </row>
    <row r="119" spans="1:5" ht="38.25" x14ac:dyDescent="0.2">
      <c r="A119" s="19" t="s">
        <v>25</v>
      </c>
      <c r="B119" s="13" t="s">
        <v>148</v>
      </c>
      <c r="C119" s="14">
        <v>137600</v>
      </c>
      <c r="D119" s="14">
        <v>34726.94</v>
      </c>
    </row>
    <row r="120" spans="1:5" ht="38.25" x14ac:dyDescent="0.2">
      <c r="A120" s="19" t="s">
        <v>25</v>
      </c>
      <c r="B120" s="13" t="s">
        <v>149</v>
      </c>
      <c r="C120" s="14">
        <v>327300</v>
      </c>
      <c r="D120" s="14">
        <v>133565.4</v>
      </c>
    </row>
    <row r="121" spans="1:5" ht="38.25" x14ac:dyDescent="0.2">
      <c r="A121" s="19" t="s">
        <v>25</v>
      </c>
      <c r="B121" s="13" t="s">
        <v>150</v>
      </c>
      <c r="C121" s="14">
        <v>135800</v>
      </c>
      <c r="D121" s="14">
        <v>32216.69</v>
      </c>
    </row>
    <row r="122" spans="1:5" ht="38.25" x14ac:dyDescent="0.2">
      <c r="A122" s="19" t="s">
        <v>25</v>
      </c>
      <c r="B122" s="13" t="s">
        <v>151</v>
      </c>
      <c r="C122" s="14">
        <v>140200</v>
      </c>
      <c r="D122" s="14">
        <v>41702.300000000003</v>
      </c>
    </row>
    <row r="123" spans="1:5" ht="38.25" x14ac:dyDescent="0.2">
      <c r="A123" s="12" t="s">
        <v>152</v>
      </c>
      <c r="B123" s="13" t="s">
        <v>153</v>
      </c>
      <c r="C123" s="14">
        <v>142300</v>
      </c>
      <c r="D123" s="14">
        <v>51578.75</v>
      </c>
      <c r="E123" s="15">
        <f>SUM(D123:D132)</f>
        <v>604108.85</v>
      </c>
    </row>
    <row r="124" spans="1:5" ht="38.25" x14ac:dyDescent="0.2">
      <c r="A124" s="19" t="s">
        <v>152</v>
      </c>
      <c r="B124" s="13" t="s">
        <v>154</v>
      </c>
      <c r="C124" s="14">
        <v>140900</v>
      </c>
      <c r="D124" s="14">
        <v>38379.06</v>
      </c>
    </row>
    <row r="125" spans="1:5" ht="38.25" x14ac:dyDescent="0.2">
      <c r="A125" s="19" t="s">
        <v>152</v>
      </c>
      <c r="B125" s="13" t="s">
        <v>155</v>
      </c>
      <c r="C125" s="14">
        <v>139500</v>
      </c>
      <c r="D125" s="14">
        <v>61792.92</v>
      </c>
    </row>
    <row r="126" spans="1:5" ht="25.5" x14ac:dyDescent="0.2">
      <c r="A126" s="19" t="s">
        <v>152</v>
      </c>
      <c r="B126" s="13" t="s">
        <v>156</v>
      </c>
      <c r="C126" s="14">
        <v>328700</v>
      </c>
      <c r="D126" s="14">
        <v>134380.04</v>
      </c>
    </row>
    <row r="127" spans="1:5" ht="38.25" x14ac:dyDescent="0.2">
      <c r="A127" s="19" t="s">
        <v>152</v>
      </c>
      <c r="B127" s="13" t="s">
        <v>157</v>
      </c>
      <c r="C127" s="14">
        <v>141600</v>
      </c>
      <c r="D127" s="14">
        <v>51499.88</v>
      </c>
    </row>
    <row r="128" spans="1:5" ht="51" x14ac:dyDescent="0.2">
      <c r="A128" s="19" t="s">
        <v>152</v>
      </c>
      <c r="B128" s="13" t="s">
        <v>158</v>
      </c>
      <c r="C128" s="14">
        <v>138600</v>
      </c>
      <c r="D128" s="14">
        <v>61792</v>
      </c>
    </row>
    <row r="129" spans="1:5" ht="25.5" x14ac:dyDescent="0.2">
      <c r="A129" s="19" t="s">
        <v>152</v>
      </c>
      <c r="B129" s="13" t="s">
        <v>159</v>
      </c>
      <c r="C129" s="14">
        <v>138800</v>
      </c>
      <c r="D129" s="14">
        <v>51578.75</v>
      </c>
    </row>
    <row r="130" spans="1:5" ht="38.25" x14ac:dyDescent="0.2">
      <c r="A130" s="19" t="s">
        <v>152</v>
      </c>
      <c r="B130" s="13" t="s">
        <v>160</v>
      </c>
      <c r="C130" s="14">
        <v>141600</v>
      </c>
      <c r="D130" s="14">
        <v>51500</v>
      </c>
    </row>
    <row r="131" spans="1:5" ht="38.25" x14ac:dyDescent="0.2">
      <c r="A131" s="19" t="s">
        <v>152</v>
      </c>
      <c r="B131" s="13" t="s">
        <v>161</v>
      </c>
      <c r="C131" s="14">
        <v>142100</v>
      </c>
      <c r="D131" s="14">
        <v>50107.45</v>
      </c>
    </row>
    <row r="132" spans="1:5" ht="25.5" x14ac:dyDescent="0.2">
      <c r="A132" s="19" t="s">
        <v>152</v>
      </c>
      <c r="B132" s="13" t="s">
        <v>162</v>
      </c>
      <c r="C132" s="14">
        <v>140400</v>
      </c>
      <c r="D132" s="14">
        <v>51500</v>
      </c>
    </row>
    <row r="133" spans="1:5" ht="38.25" x14ac:dyDescent="0.2">
      <c r="A133" s="12" t="s">
        <v>26</v>
      </c>
      <c r="B133" s="13" t="s">
        <v>163</v>
      </c>
      <c r="C133" s="14">
        <v>136600</v>
      </c>
      <c r="D133" s="14">
        <v>0</v>
      </c>
      <c r="E133" s="15">
        <f>SUM(D133:D153)</f>
        <v>1773342.0699999998</v>
      </c>
    </row>
    <row r="134" spans="1:5" ht="38.25" x14ac:dyDescent="0.2">
      <c r="A134" s="19" t="s">
        <v>26</v>
      </c>
      <c r="B134" s="13" t="s">
        <v>164</v>
      </c>
      <c r="C134" s="14">
        <v>329800</v>
      </c>
      <c r="D134" s="14">
        <v>113571.5</v>
      </c>
    </row>
    <row r="135" spans="1:5" ht="38.25" x14ac:dyDescent="0.2">
      <c r="A135" s="19" t="s">
        <v>26</v>
      </c>
      <c r="B135" s="13" t="s">
        <v>165</v>
      </c>
      <c r="C135" s="14">
        <v>138500</v>
      </c>
      <c r="D135" s="14">
        <v>60254.38</v>
      </c>
    </row>
    <row r="136" spans="1:5" ht="38.25" x14ac:dyDescent="0.2">
      <c r="A136" s="19" t="s">
        <v>26</v>
      </c>
      <c r="B136" s="13" t="s">
        <v>166</v>
      </c>
      <c r="C136" s="14">
        <v>326300</v>
      </c>
      <c r="D136" s="14">
        <v>123641.79</v>
      </c>
    </row>
    <row r="137" spans="1:5" ht="38.25" x14ac:dyDescent="0.2">
      <c r="A137" s="19" t="s">
        <v>26</v>
      </c>
      <c r="B137" s="13" t="s">
        <v>167</v>
      </c>
      <c r="C137" s="14">
        <v>137600</v>
      </c>
      <c r="D137" s="14">
        <v>54205.31</v>
      </c>
    </row>
    <row r="138" spans="1:5" ht="38.25" x14ac:dyDescent="0.2">
      <c r="A138" s="19" t="s">
        <v>26</v>
      </c>
      <c r="B138" s="13" t="s">
        <v>168</v>
      </c>
      <c r="C138" s="14">
        <v>136800</v>
      </c>
      <c r="D138" s="14">
        <v>58841.58</v>
      </c>
    </row>
    <row r="139" spans="1:5" ht="38.25" x14ac:dyDescent="0.2">
      <c r="A139" s="19" t="s">
        <v>26</v>
      </c>
      <c r="B139" s="13" t="s">
        <v>169</v>
      </c>
      <c r="C139" s="14">
        <v>138900</v>
      </c>
      <c r="D139" s="14">
        <v>50106.15</v>
      </c>
    </row>
    <row r="140" spans="1:5" ht="38.25" x14ac:dyDescent="0.2">
      <c r="A140" s="19" t="s">
        <v>26</v>
      </c>
      <c r="B140" s="13" t="s">
        <v>170</v>
      </c>
      <c r="C140" s="14">
        <v>326000</v>
      </c>
      <c r="D140" s="14">
        <v>134380.04999999999</v>
      </c>
    </row>
    <row r="141" spans="1:5" ht="38.25" x14ac:dyDescent="0.2">
      <c r="A141" s="19" t="s">
        <v>26</v>
      </c>
      <c r="B141" s="13" t="s">
        <v>171</v>
      </c>
      <c r="C141" s="14">
        <v>136800</v>
      </c>
      <c r="D141" s="14">
        <v>49397.279999999999</v>
      </c>
    </row>
    <row r="142" spans="1:5" ht="38.25" x14ac:dyDescent="0.2">
      <c r="A142" s="19" t="s">
        <v>26</v>
      </c>
      <c r="B142" s="13" t="s">
        <v>172</v>
      </c>
      <c r="C142" s="14">
        <v>325200</v>
      </c>
      <c r="D142" s="14">
        <v>111790.19</v>
      </c>
    </row>
    <row r="143" spans="1:5" ht="38.25" x14ac:dyDescent="0.2">
      <c r="A143" s="19" t="s">
        <v>26</v>
      </c>
      <c r="B143" s="13" t="s">
        <v>173</v>
      </c>
      <c r="C143" s="14">
        <v>326300</v>
      </c>
      <c r="D143" s="14">
        <v>100698.64</v>
      </c>
    </row>
    <row r="144" spans="1:5" ht="38.25" x14ac:dyDescent="0.2">
      <c r="A144" s="19" t="s">
        <v>26</v>
      </c>
      <c r="B144" s="13" t="s">
        <v>174</v>
      </c>
      <c r="C144" s="14">
        <v>137400</v>
      </c>
      <c r="D144" s="14">
        <v>48323.12</v>
      </c>
    </row>
    <row r="145" spans="1:5" ht="38.25" x14ac:dyDescent="0.2">
      <c r="A145" s="19" t="s">
        <v>26</v>
      </c>
      <c r="B145" s="13" t="s">
        <v>175</v>
      </c>
      <c r="C145" s="14">
        <v>326700</v>
      </c>
      <c r="D145" s="14">
        <v>125265.43</v>
      </c>
    </row>
    <row r="146" spans="1:5" ht="38.25" x14ac:dyDescent="0.2">
      <c r="A146" s="19" t="s">
        <v>26</v>
      </c>
      <c r="B146" s="13" t="s">
        <v>176</v>
      </c>
      <c r="C146" s="14">
        <v>136600</v>
      </c>
      <c r="D146" s="14">
        <v>55533.45</v>
      </c>
    </row>
    <row r="147" spans="1:5" ht="38.25" x14ac:dyDescent="0.2">
      <c r="A147" s="19" t="s">
        <v>26</v>
      </c>
      <c r="B147" s="13" t="s">
        <v>177</v>
      </c>
      <c r="C147" s="14">
        <v>135800</v>
      </c>
      <c r="D147" s="14">
        <v>59009</v>
      </c>
    </row>
    <row r="148" spans="1:5" ht="38.25" x14ac:dyDescent="0.2">
      <c r="A148" s="19" t="s">
        <v>26</v>
      </c>
      <c r="B148" s="13" t="s">
        <v>178</v>
      </c>
      <c r="C148" s="14">
        <v>137800</v>
      </c>
      <c r="D148" s="14">
        <v>50106.15</v>
      </c>
    </row>
    <row r="149" spans="1:5" ht="38.25" x14ac:dyDescent="0.2">
      <c r="A149" s="19" t="s">
        <v>26</v>
      </c>
      <c r="B149" s="13" t="s">
        <v>179</v>
      </c>
      <c r="C149" s="14">
        <v>326500</v>
      </c>
      <c r="D149" s="14">
        <v>87689.43</v>
      </c>
    </row>
    <row r="150" spans="1:5" ht="38.25" x14ac:dyDescent="0.2">
      <c r="A150" s="19" t="s">
        <v>26</v>
      </c>
      <c r="B150" s="13" t="s">
        <v>180</v>
      </c>
      <c r="C150" s="14">
        <v>136600</v>
      </c>
      <c r="D150" s="14">
        <v>50105</v>
      </c>
    </row>
    <row r="151" spans="1:5" ht="38.25" x14ac:dyDescent="0.2">
      <c r="A151" s="19" t="s">
        <v>26</v>
      </c>
      <c r="B151" s="13" t="s">
        <v>181</v>
      </c>
      <c r="C151" s="14">
        <v>645300</v>
      </c>
      <c r="D151" s="14">
        <v>262238.06</v>
      </c>
    </row>
    <row r="152" spans="1:5" ht="38.25" x14ac:dyDescent="0.2">
      <c r="A152" s="19" t="s">
        <v>26</v>
      </c>
      <c r="B152" s="13" t="s">
        <v>182</v>
      </c>
      <c r="C152" s="14">
        <v>137800</v>
      </c>
      <c r="D152" s="14">
        <v>50152.32</v>
      </c>
    </row>
    <row r="153" spans="1:5" ht="38.25" x14ac:dyDescent="0.2">
      <c r="A153" s="19" t="s">
        <v>26</v>
      </c>
      <c r="B153" s="13" t="s">
        <v>183</v>
      </c>
      <c r="C153" s="14">
        <v>327700</v>
      </c>
      <c r="D153" s="14">
        <v>128033.24</v>
      </c>
    </row>
    <row r="154" spans="1:5" ht="38.25" x14ac:dyDescent="0.2">
      <c r="A154" s="12" t="s">
        <v>27</v>
      </c>
      <c r="B154" s="13" t="s">
        <v>186</v>
      </c>
      <c r="C154" s="14">
        <v>136900</v>
      </c>
      <c r="D154" s="14">
        <v>52703.88</v>
      </c>
      <c r="E154" s="15">
        <f>SUM(D154:D167)</f>
        <v>945105.00999999989</v>
      </c>
    </row>
    <row r="155" spans="1:5" ht="38.25" x14ac:dyDescent="0.2">
      <c r="A155" s="19" t="s">
        <v>27</v>
      </c>
      <c r="B155" s="13" t="s">
        <v>187</v>
      </c>
      <c r="C155" s="14">
        <v>139500</v>
      </c>
      <c r="D155" s="14">
        <v>61779.9</v>
      </c>
    </row>
    <row r="156" spans="1:5" ht="38.25" x14ac:dyDescent="0.2">
      <c r="A156" s="19" t="s">
        <v>27</v>
      </c>
      <c r="B156" s="13" t="s">
        <v>188</v>
      </c>
      <c r="C156" s="14">
        <v>136500</v>
      </c>
      <c r="D156" s="14">
        <v>61778.98</v>
      </c>
    </row>
    <row r="157" spans="1:5" ht="38.25" x14ac:dyDescent="0.2">
      <c r="A157" s="19" t="s">
        <v>27</v>
      </c>
      <c r="B157" s="13" t="s">
        <v>189</v>
      </c>
      <c r="C157" s="14">
        <v>139100</v>
      </c>
      <c r="D157" s="14">
        <v>61776</v>
      </c>
    </row>
    <row r="158" spans="1:5" ht="38.25" x14ac:dyDescent="0.2">
      <c r="A158" s="19" t="s">
        <v>27</v>
      </c>
      <c r="B158" s="13" t="s">
        <v>190</v>
      </c>
      <c r="C158" s="14">
        <v>327700</v>
      </c>
      <c r="D158" s="14">
        <v>151227.29</v>
      </c>
    </row>
    <row r="159" spans="1:5" ht="38.25" x14ac:dyDescent="0.2">
      <c r="A159" s="19" t="s">
        <v>27</v>
      </c>
      <c r="B159" s="13" t="s">
        <v>191</v>
      </c>
      <c r="C159" s="14">
        <v>138200</v>
      </c>
      <c r="D159" s="14">
        <v>61680</v>
      </c>
    </row>
    <row r="160" spans="1:5" ht="38.25" x14ac:dyDescent="0.2">
      <c r="A160" s="19" t="s">
        <v>27</v>
      </c>
      <c r="B160" s="13" t="s">
        <v>192</v>
      </c>
      <c r="C160" s="14">
        <v>136300</v>
      </c>
      <c r="D160" s="14">
        <v>61779.9</v>
      </c>
    </row>
    <row r="161" spans="1:5" ht="38.25" x14ac:dyDescent="0.2">
      <c r="A161" s="19" t="s">
        <v>27</v>
      </c>
      <c r="B161" s="13" t="s">
        <v>193</v>
      </c>
      <c r="C161" s="14">
        <v>135200</v>
      </c>
      <c r="D161" s="14">
        <v>61777.32</v>
      </c>
    </row>
    <row r="162" spans="1:5" ht="38.25" x14ac:dyDescent="0.2">
      <c r="A162" s="19" t="s">
        <v>27</v>
      </c>
      <c r="B162" s="13" t="s">
        <v>194</v>
      </c>
      <c r="C162" s="14">
        <v>140200</v>
      </c>
      <c r="D162" s="14">
        <v>61777.32</v>
      </c>
    </row>
    <row r="163" spans="1:5" ht="38.25" x14ac:dyDescent="0.2">
      <c r="A163" s="19" t="s">
        <v>27</v>
      </c>
      <c r="B163" s="13" t="s">
        <v>195</v>
      </c>
      <c r="C163" s="14">
        <v>141900</v>
      </c>
      <c r="D163" s="14">
        <v>61777.32</v>
      </c>
    </row>
    <row r="164" spans="1:5" ht="38.25" x14ac:dyDescent="0.2">
      <c r="A164" s="19" t="s">
        <v>27</v>
      </c>
      <c r="B164" s="13" t="s">
        <v>196</v>
      </c>
      <c r="C164" s="14">
        <v>139400</v>
      </c>
      <c r="D164" s="14">
        <v>61778.98</v>
      </c>
    </row>
    <row r="165" spans="1:5" ht="38.25" x14ac:dyDescent="0.2">
      <c r="A165" s="19" t="s">
        <v>27</v>
      </c>
      <c r="B165" s="13" t="s">
        <v>197</v>
      </c>
      <c r="C165" s="14">
        <v>135000</v>
      </c>
      <c r="D165" s="14">
        <v>61714.8</v>
      </c>
    </row>
    <row r="166" spans="1:5" ht="38.25" x14ac:dyDescent="0.2">
      <c r="A166" s="19" t="s">
        <v>27</v>
      </c>
      <c r="B166" s="13" t="s">
        <v>198</v>
      </c>
      <c r="C166" s="14">
        <v>135900</v>
      </c>
      <c r="D166" s="14">
        <v>61777.32</v>
      </c>
    </row>
    <row r="167" spans="1:5" ht="38.25" x14ac:dyDescent="0.2">
      <c r="A167" s="19" t="s">
        <v>27</v>
      </c>
      <c r="B167" s="13" t="s">
        <v>199</v>
      </c>
      <c r="C167" s="14">
        <v>136900</v>
      </c>
      <c r="D167" s="14">
        <v>61776</v>
      </c>
    </row>
    <row r="168" spans="1:5" ht="38.25" x14ac:dyDescent="0.2">
      <c r="A168" s="12" t="s">
        <v>28</v>
      </c>
      <c r="B168" s="13" t="s">
        <v>200</v>
      </c>
      <c r="C168" s="14">
        <v>137600</v>
      </c>
      <c r="D168" s="14">
        <v>68800</v>
      </c>
      <c r="E168" s="15">
        <f>SUM(D168:D191)</f>
        <v>1929050</v>
      </c>
    </row>
    <row r="169" spans="1:5" ht="38.25" x14ac:dyDescent="0.2">
      <c r="A169" s="19" t="s">
        <v>28</v>
      </c>
      <c r="B169" s="13" t="s">
        <v>201</v>
      </c>
      <c r="C169" s="14">
        <v>137300</v>
      </c>
      <c r="D169" s="14">
        <v>68650</v>
      </c>
    </row>
    <row r="170" spans="1:5" ht="38.25" x14ac:dyDescent="0.2">
      <c r="A170" s="19" t="s">
        <v>28</v>
      </c>
      <c r="B170" s="13" t="s">
        <v>202</v>
      </c>
      <c r="C170" s="14">
        <v>137500</v>
      </c>
      <c r="D170" s="14">
        <v>68750</v>
      </c>
    </row>
    <row r="171" spans="1:5" ht="38.25" x14ac:dyDescent="0.2">
      <c r="A171" s="19" t="s">
        <v>28</v>
      </c>
      <c r="B171" s="13" t="s">
        <v>203</v>
      </c>
      <c r="C171" s="14">
        <v>137800</v>
      </c>
      <c r="D171" s="14">
        <v>68900</v>
      </c>
    </row>
    <row r="172" spans="1:5" ht="38.25" x14ac:dyDescent="0.2">
      <c r="A172" s="19" t="s">
        <v>28</v>
      </c>
      <c r="B172" s="13" t="s">
        <v>204</v>
      </c>
      <c r="C172" s="14">
        <v>136600</v>
      </c>
      <c r="D172" s="14">
        <v>68300</v>
      </c>
    </row>
    <row r="173" spans="1:5" ht="38.25" x14ac:dyDescent="0.2">
      <c r="A173" s="19" t="s">
        <v>28</v>
      </c>
      <c r="B173" s="13" t="s">
        <v>205</v>
      </c>
      <c r="C173" s="14">
        <v>325800</v>
      </c>
      <c r="D173" s="14">
        <v>162900</v>
      </c>
    </row>
    <row r="174" spans="1:5" ht="38.25" x14ac:dyDescent="0.2">
      <c r="A174" s="19" t="s">
        <v>28</v>
      </c>
      <c r="B174" s="13" t="s">
        <v>206</v>
      </c>
      <c r="C174" s="14">
        <v>138900</v>
      </c>
      <c r="D174" s="14">
        <v>69450</v>
      </c>
    </row>
    <row r="175" spans="1:5" ht="38.25" x14ac:dyDescent="0.2">
      <c r="A175" s="19" t="s">
        <v>28</v>
      </c>
      <c r="B175" s="13" t="s">
        <v>207</v>
      </c>
      <c r="C175" s="14">
        <v>138100</v>
      </c>
      <c r="D175" s="14">
        <v>69050</v>
      </c>
    </row>
    <row r="176" spans="1:5" ht="38.25" x14ac:dyDescent="0.2">
      <c r="A176" s="19" t="s">
        <v>28</v>
      </c>
      <c r="B176" s="13" t="s">
        <v>208</v>
      </c>
      <c r="C176" s="14">
        <v>135200</v>
      </c>
      <c r="D176" s="14">
        <v>67600</v>
      </c>
    </row>
    <row r="177" spans="1:5" ht="38.25" x14ac:dyDescent="0.2">
      <c r="A177" s="19" t="s">
        <v>28</v>
      </c>
      <c r="B177" s="13" t="s">
        <v>209</v>
      </c>
      <c r="C177" s="14">
        <v>138600</v>
      </c>
      <c r="D177" s="14">
        <v>69300</v>
      </c>
    </row>
    <row r="178" spans="1:5" ht="38.25" x14ac:dyDescent="0.2">
      <c r="A178" s="19" t="s">
        <v>28</v>
      </c>
      <c r="B178" s="13" t="s">
        <v>210</v>
      </c>
      <c r="C178" s="14">
        <v>138600</v>
      </c>
      <c r="D178" s="14">
        <v>69300</v>
      </c>
    </row>
    <row r="179" spans="1:5" ht="38.25" x14ac:dyDescent="0.2">
      <c r="A179" s="19" t="s">
        <v>28</v>
      </c>
      <c r="B179" s="13" t="s">
        <v>211</v>
      </c>
      <c r="C179" s="14">
        <v>136400</v>
      </c>
      <c r="D179" s="14">
        <v>68200</v>
      </c>
    </row>
    <row r="180" spans="1:5" ht="38.25" x14ac:dyDescent="0.2">
      <c r="A180" s="19" t="s">
        <v>28</v>
      </c>
      <c r="B180" s="13" t="s">
        <v>212</v>
      </c>
      <c r="C180" s="14">
        <v>138300</v>
      </c>
      <c r="D180" s="14">
        <v>69150</v>
      </c>
    </row>
    <row r="181" spans="1:5" ht="38.25" x14ac:dyDescent="0.2">
      <c r="A181" s="19" t="s">
        <v>28</v>
      </c>
      <c r="B181" s="13" t="s">
        <v>213</v>
      </c>
      <c r="C181" s="14">
        <v>135500</v>
      </c>
      <c r="D181" s="14">
        <v>67750</v>
      </c>
    </row>
    <row r="182" spans="1:5" ht="38.25" x14ac:dyDescent="0.2">
      <c r="A182" s="19" t="s">
        <v>28</v>
      </c>
      <c r="B182" s="13" t="s">
        <v>214</v>
      </c>
      <c r="C182" s="14">
        <v>328800</v>
      </c>
      <c r="D182" s="14">
        <v>164400</v>
      </c>
    </row>
    <row r="183" spans="1:5" ht="38.25" x14ac:dyDescent="0.2">
      <c r="A183" s="19" t="s">
        <v>28</v>
      </c>
      <c r="B183" s="13" t="s">
        <v>215</v>
      </c>
      <c r="C183" s="14">
        <v>137000</v>
      </c>
      <c r="D183" s="14">
        <v>68500</v>
      </c>
    </row>
    <row r="184" spans="1:5" ht="38.25" x14ac:dyDescent="0.2">
      <c r="A184" s="19" t="s">
        <v>28</v>
      </c>
      <c r="B184" s="13" t="s">
        <v>216</v>
      </c>
      <c r="C184" s="14">
        <v>140400</v>
      </c>
      <c r="D184" s="14">
        <v>70200</v>
      </c>
    </row>
    <row r="185" spans="1:5" ht="38.25" x14ac:dyDescent="0.2">
      <c r="A185" s="19" t="s">
        <v>28</v>
      </c>
      <c r="B185" s="13" t="s">
        <v>217</v>
      </c>
      <c r="C185" s="14">
        <v>135900</v>
      </c>
      <c r="D185" s="14">
        <v>67950</v>
      </c>
    </row>
    <row r="186" spans="1:5" ht="38.25" x14ac:dyDescent="0.2">
      <c r="A186" s="19" t="s">
        <v>28</v>
      </c>
      <c r="B186" s="13" t="s">
        <v>218</v>
      </c>
      <c r="C186" s="14">
        <v>324900</v>
      </c>
      <c r="D186" s="14">
        <v>162450</v>
      </c>
    </row>
    <row r="187" spans="1:5" ht="38.25" x14ac:dyDescent="0.2">
      <c r="A187" s="19" t="s">
        <v>28</v>
      </c>
      <c r="B187" s="13" t="s">
        <v>219</v>
      </c>
      <c r="C187" s="14">
        <v>135900</v>
      </c>
      <c r="D187" s="14">
        <v>67950</v>
      </c>
    </row>
    <row r="188" spans="1:5" ht="38.25" x14ac:dyDescent="0.2">
      <c r="A188" s="19" t="s">
        <v>28</v>
      </c>
      <c r="B188" s="13" t="s">
        <v>220</v>
      </c>
      <c r="C188" s="14">
        <v>136600</v>
      </c>
      <c r="D188" s="14">
        <v>68300</v>
      </c>
    </row>
    <row r="189" spans="1:5" ht="38.25" x14ac:dyDescent="0.2">
      <c r="A189" s="19" t="s">
        <v>28</v>
      </c>
      <c r="B189" s="13" t="s">
        <v>221</v>
      </c>
      <c r="C189" s="14">
        <v>134600</v>
      </c>
      <c r="D189" s="14">
        <v>67300</v>
      </c>
    </row>
    <row r="190" spans="1:5" ht="38.25" x14ac:dyDescent="0.2">
      <c r="A190" s="19" t="s">
        <v>28</v>
      </c>
      <c r="B190" s="13" t="s">
        <v>222</v>
      </c>
      <c r="C190" s="14">
        <v>136000</v>
      </c>
      <c r="D190" s="14">
        <v>68000</v>
      </c>
    </row>
    <row r="191" spans="1:5" ht="38.25" x14ac:dyDescent="0.2">
      <c r="A191" s="19" t="s">
        <v>28</v>
      </c>
      <c r="B191" s="13" t="s">
        <v>223</v>
      </c>
      <c r="C191" s="14">
        <v>135800</v>
      </c>
      <c r="D191" s="14">
        <v>67900</v>
      </c>
    </row>
    <row r="192" spans="1:5" ht="38.25" x14ac:dyDescent="0.2">
      <c r="A192" s="12" t="s">
        <v>29</v>
      </c>
      <c r="B192" s="13" t="s">
        <v>224</v>
      </c>
      <c r="C192" s="14">
        <v>135200</v>
      </c>
      <c r="D192" s="14">
        <v>64727.48</v>
      </c>
      <c r="E192" s="15">
        <f>SUM(D192:D205)</f>
        <v>791257.54999999993</v>
      </c>
    </row>
    <row r="193" spans="1:5" ht="38.25" x14ac:dyDescent="0.2">
      <c r="A193" s="19" t="s">
        <v>29</v>
      </c>
      <c r="B193" s="13" t="s">
        <v>225</v>
      </c>
      <c r="C193" s="14">
        <v>136100</v>
      </c>
      <c r="D193" s="14">
        <v>66857.19</v>
      </c>
    </row>
    <row r="194" spans="1:5" ht="38.25" x14ac:dyDescent="0.2">
      <c r="A194" s="19" t="s">
        <v>29</v>
      </c>
      <c r="B194" s="13" t="s">
        <v>226</v>
      </c>
      <c r="C194" s="14">
        <v>134200</v>
      </c>
      <c r="D194" s="14">
        <v>58876.59</v>
      </c>
    </row>
    <row r="195" spans="1:5" ht="38.25" x14ac:dyDescent="0.2">
      <c r="A195" s="19" t="s">
        <v>29</v>
      </c>
      <c r="B195" s="13" t="s">
        <v>227</v>
      </c>
      <c r="C195" s="14">
        <v>135200</v>
      </c>
      <c r="D195" s="14">
        <v>62470.98</v>
      </c>
    </row>
    <row r="196" spans="1:5" ht="38.25" x14ac:dyDescent="0.2">
      <c r="A196" s="19" t="s">
        <v>29</v>
      </c>
      <c r="B196" s="13" t="s">
        <v>228</v>
      </c>
      <c r="C196" s="14">
        <v>134100</v>
      </c>
      <c r="D196" s="14">
        <v>51559.199999999997</v>
      </c>
    </row>
    <row r="197" spans="1:5" ht="38.25" x14ac:dyDescent="0.2">
      <c r="A197" s="19" t="s">
        <v>29</v>
      </c>
      <c r="B197" s="13" t="s">
        <v>229</v>
      </c>
      <c r="C197" s="14">
        <v>134300</v>
      </c>
      <c r="D197" s="14">
        <v>60128.99</v>
      </c>
    </row>
    <row r="198" spans="1:5" ht="38.25" x14ac:dyDescent="0.2">
      <c r="A198" s="19" t="s">
        <v>29</v>
      </c>
      <c r="B198" s="13" t="s">
        <v>230</v>
      </c>
      <c r="C198" s="14">
        <v>135000</v>
      </c>
      <c r="D198" s="14">
        <v>60128.94</v>
      </c>
    </row>
    <row r="199" spans="1:5" ht="38.25" x14ac:dyDescent="0.2">
      <c r="A199" s="19" t="s">
        <v>29</v>
      </c>
      <c r="B199" s="13" t="s">
        <v>231</v>
      </c>
      <c r="C199" s="14">
        <v>134400</v>
      </c>
      <c r="D199" s="14">
        <v>55438.61</v>
      </c>
    </row>
    <row r="200" spans="1:5" ht="38.25" x14ac:dyDescent="0.2">
      <c r="A200" s="19" t="s">
        <v>29</v>
      </c>
      <c r="B200" s="13" t="s">
        <v>232</v>
      </c>
      <c r="C200" s="14">
        <v>137900</v>
      </c>
      <c r="D200" s="14">
        <v>46728.6</v>
      </c>
    </row>
    <row r="201" spans="1:5" ht="38.25" x14ac:dyDescent="0.2">
      <c r="A201" s="19" t="s">
        <v>29</v>
      </c>
      <c r="B201" s="13" t="s">
        <v>233</v>
      </c>
      <c r="C201" s="14">
        <v>134800</v>
      </c>
      <c r="D201" s="14">
        <v>36316.300000000003</v>
      </c>
    </row>
    <row r="202" spans="1:5" ht="38.25" x14ac:dyDescent="0.2">
      <c r="A202" s="19" t="s">
        <v>29</v>
      </c>
      <c r="B202" s="13" t="s">
        <v>234</v>
      </c>
      <c r="C202" s="14">
        <v>137000</v>
      </c>
      <c r="D202" s="14">
        <v>51168.6</v>
      </c>
    </row>
    <row r="203" spans="1:5" ht="38.25" x14ac:dyDescent="0.2">
      <c r="A203" s="19" t="s">
        <v>29</v>
      </c>
      <c r="B203" s="13" t="s">
        <v>235</v>
      </c>
      <c r="C203" s="14">
        <v>136500</v>
      </c>
      <c r="D203" s="14">
        <v>58299.64</v>
      </c>
    </row>
    <row r="204" spans="1:5" ht="38.25" x14ac:dyDescent="0.2">
      <c r="A204" s="19" t="s">
        <v>29</v>
      </c>
      <c r="B204" s="13" t="s">
        <v>236</v>
      </c>
      <c r="C204" s="14">
        <v>137000</v>
      </c>
      <c r="D204" s="14">
        <v>58835.47</v>
      </c>
    </row>
    <row r="205" spans="1:5" ht="38.25" x14ac:dyDescent="0.2">
      <c r="A205" s="19" t="s">
        <v>29</v>
      </c>
      <c r="B205" s="13" t="s">
        <v>237</v>
      </c>
      <c r="C205" s="14">
        <v>136800</v>
      </c>
      <c r="D205" s="14">
        <v>59720.959999999999</v>
      </c>
    </row>
    <row r="206" spans="1:5" ht="38.25" x14ac:dyDescent="0.2">
      <c r="A206" s="12" t="s">
        <v>30</v>
      </c>
      <c r="B206" s="13" t="s">
        <v>238</v>
      </c>
      <c r="C206" s="14">
        <v>135900</v>
      </c>
      <c r="D206" s="14">
        <v>51112.69</v>
      </c>
      <c r="E206" s="15">
        <f>SUM(D206:D227)</f>
        <v>1261713.25</v>
      </c>
    </row>
    <row r="207" spans="1:5" ht="38.25" x14ac:dyDescent="0.2">
      <c r="A207" s="19" t="s">
        <v>30</v>
      </c>
      <c r="B207" s="13" t="s">
        <v>239</v>
      </c>
      <c r="C207" s="14">
        <v>136900</v>
      </c>
      <c r="D207" s="14">
        <v>51499.5</v>
      </c>
    </row>
    <row r="208" spans="1:5" ht="38.25" x14ac:dyDescent="0.2">
      <c r="A208" s="19" t="s">
        <v>30</v>
      </c>
      <c r="B208" s="13" t="s">
        <v>240</v>
      </c>
      <c r="C208" s="14">
        <v>139900</v>
      </c>
      <c r="D208" s="14">
        <v>45351.96</v>
      </c>
    </row>
    <row r="209" spans="1:4" ht="38.25" x14ac:dyDescent="0.2">
      <c r="A209" s="19" t="s">
        <v>30</v>
      </c>
      <c r="B209" s="13" t="s">
        <v>241</v>
      </c>
      <c r="C209" s="14">
        <v>137000</v>
      </c>
      <c r="D209" s="14">
        <v>51500.6</v>
      </c>
    </row>
    <row r="210" spans="1:4" ht="38.25" x14ac:dyDescent="0.2">
      <c r="A210" s="19" t="s">
        <v>30</v>
      </c>
      <c r="B210" s="13" t="s">
        <v>242</v>
      </c>
      <c r="C210" s="14">
        <v>136200</v>
      </c>
      <c r="D210" s="14">
        <v>51500.6</v>
      </c>
    </row>
    <row r="211" spans="1:4" ht="38.25" x14ac:dyDescent="0.2">
      <c r="A211" s="19" t="s">
        <v>30</v>
      </c>
      <c r="B211" s="13" t="s">
        <v>243</v>
      </c>
      <c r="C211" s="14">
        <v>134700</v>
      </c>
      <c r="D211" s="14">
        <v>55449.1</v>
      </c>
    </row>
    <row r="212" spans="1:4" ht="38.25" x14ac:dyDescent="0.2">
      <c r="A212" s="19" t="s">
        <v>30</v>
      </c>
      <c r="B212" s="13" t="s">
        <v>244</v>
      </c>
      <c r="C212" s="14">
        <v>137500</v>
      </c>
      <c r="D212" s="14">
        <v>51500.55</v>
      </c>
    </row>
    <row r="213" spans="1:4" ht="38.25" x14ac:dyDescent="0.2">
      <c r="A213" s="19" t="s">
        <v>30</v>
      </c>
      <c r="B213" s="13" t="s">
        <v>245</v>
      </c>
      <c r="C213" s="14">
        <v>135500</v>
      </c>
      <c r="D213" s="14">
        <v>51500.6</v>
      </c>
    </row>
    <row r="214" spans="1:4" ht="38.25" x14ac:dyDescent="0.2">
      <c r="A214" s="19" t="s">
        <v>30</v>
      </c>
      <c r="B214" s="13" t="s">
        <v>246</v>
      </c>
      <c r="C214" s="14">
        <v>136200</v>
      </c>
      <c r="D214" s="14">
        <v>51500.6</v>
      </c>
    </row>
    <row r="215" spans="1:4" ht="38.25" x14ac:dyDescent="0.2">
      <c r="A215" s="19" t="s">
        <v>30</v>
      </c>
      <c r="B215" s="13" t="s">
        <v>247</v>
      </c>
      <c r="C215" s="14">
        <v>138700</v>
      </c>
      <c r="D215" s="14">
        <v>51500</v>
      </c>
    </row>
    <row r="216" spans="1:4" ht="38.25" x14ac:dyDescent="0.2">
      <c r="A216" s="19" t="s">
        <v>30</v>
      </c>
      <c r="B216" s="13" t="s">
        <v>248</v>
      </c>
      <c r="C216" s="14">
        <v>325000</v>
      </c>
      <c r="D216" s="14">
        <v>134380.03</v>
      </c>
    </row>
    <row r="217" spans="1:4" ht="38.25" x14ac:dyDescent="0.2">
      <c r="A217" s="19" t="s">
        <v>30</v>
      </c>
      <c r="B217" s="13" t="s">
        <v>249</v>
      </c>
      <c r="C217" s="14">
        <v>136000</v>
      </c>
      <c r="D217" s="14">
        <v>55781.15</v>
      </c>
    </row>
    <row r="218" spans="1:4" ht="38.25" x14ac:dyDescent="0.2">
      <c r="A218" s="19" t="s">
        <v>30</v>
      </c>
      <c r="B218" s="13" t="s">
        <v>250</v>
      </c>
      <c r="C218" s="14">
        <v>134300</v>
      </c>
      <c r="D218" s="14">
        <v>61800</v>
      </c>
    </row>
    <row r="219" spans="1:4" ht="38.25" x14ac:dyDescent="0.2">
      <c r="A219" s="19" t="s">
        <v>30</v>
      </c>
      <c r="B219" s="13" t="s">
        <v>251</v>
      </c>
      <c r="C219" s="14">
        <v>136600</v>
      </c>
      <c r="D219" s="14">
        <v>51500</v>
      </c>
    </row>
    <row r="220" spans="1:4" ht="38.25" x14ac:dyDescent="0.2">
      <c r="A220" s="19" t="s">
        <v>30</v>
      </c>
      <c r="B220" s="13" t="s">
        <v>252</v>
      </c>
      <c r="C220" s="14">
        <v>135300</v>
      </c>
      <c r="D220" s="14">
        <v>51499.02</v>
      </c>
    </row>
    <row r="221" spans="1:4" ht="38.25" x14ac:dyDescent="0.2">
      <c r="A221" s="19" t="s">
        <v>30</v>
      </c>
      <c r="B221" s="13" t="s">
        <v>253</v>
      </c>
      <c r="C221" s="14">
        <v>140200</v>
      </c>
      <c r="D221" s="14">
        <v>51500.6</v>
      </c>
    </row>
    <row r="222" spans="1:4" ht="38.25" x14ac:dyDescent="0.2">
      <c r="A222" s="19" t="s">
        <v>30</v>
      </c>
      <c r="B222" s="13" t="s">
        <v>254</v>
      </c>
      <c r="C222" s="14">
        <v>134800</v>
      </c>
      <c r="D222" s="14">
        <v>67200</v>
      </c>
    </row>
    <row r="223" spans="1:4" ht="38.25" x14ac:dyDescent="0.2">
      <c r="A223" s="19" t="s">
        <v>30</v>
      </c>
      <c r="B223" s="13" t="s">
        <v>255</v>
      </c>
      <c r="C223" s="14">
        <v>136200</v>
      </c>
      <c r="D223" s="14">
        <v>55449.1</v>
      </c>
    </row>
    <row r="224" spans="1:4" ht="38.25" x14ac:dyDescent="0.2">
      <c r="A224" s="19" t="s">
        <v>30</v>
      </c>
      <c r="B224" s="13" t="s">
        <v>256</v>
      </c>
      <c r="C224" s="14">
        <v>138000</v>
      </c>
      <c r="D224" s="14">
        <v>56694.28</v>
      </c>
    </row>
    <row r="225" spans="1:4" ht="38.25" x14ac:dyDescent="0.2">
      <c r="A225" s="19" t="s">
        <v>30</v>
      </c>
      <c r="B225" s="13" t="s">
        <v>257</v>
      </c>
      <c r="C225" s="14">
        <v>140200</v>
      </c>
      <c r="D225" s="14">
        <v>60499.01</v>
      </c>
    </row>
    <row r="226" spans="1:4" ht="38.25" x14ac:dyDescent="0.2">
      <c r="A226" s="19" t="s">
        <v>30</v>
      </c>
      <c r="B226" s="13" t="s">
        <v>258</v>
      </c>
      <c r="C226" s="14">
        <v>134000</v>
      </c>
      <c r="D226" s="14">
        <v>51499.3</v>
      </c>
    </row>
    <row r="227" spans="1:4" ht="38.25" x14ac:dyDescent="0.2">
      <c r="A227" s="19" t="s">
        <v>30</v>
      </c>
      <c r="B227" s="13" t="s">
        <v>259</v>
      </c>
      <c r="C227" s="14">
        <v>134400</v>
      </c>
      <c r="D227" s="14">
        <v>51494.559999999998</v>
      </c>
    </row>
    <row r="228" spans="1:4" x14ac:dyDescent="0.2">
      <c r="A228" s="22"/>
      <c r="C228" s="23"/>
      <c r="D228" s="23"/>
    </row>
    <row r="229" spans="1:4" x14ac:dyDescent="0.2">
      <c r="A229" s="24"/>
      <c r="C229" s="23"/>
      <c r="D229" s="23"/>
    </row>
    <row r="230" spans="1:4" x14ac:dyDescent="0.2">
      <c r="A230" s="24"/>
      <c r="C230" s="23"/>
      <c r="D230" s="23"/>
    </row>
    <row r="231" spans="1:4" x14ac:dyDescent="0.2">
      <c r="A231" s="24"/>
      <c r="C231" s="23"/>
      <c r="D231" s="23"/>
    </row>
    <row r="232" spans="1:4" x14ac:dyDescent="0.2">
      <c r="A232" s="24"/>
      <c r="C232" s="23"/>
      <c r="D232" s="23"/>
    </row>
    <row r="233" spans="1:4" x14ac:dyDescent="0.2">
      <c r="C233" s="23"/>
      <c r="D233" s="23"/>
    </row>
    <row r="234" spans="1:4" x14ac:dyDescent="0.2">
      <c r="C234" s="23"/>
      <c r="D234" s="23"/>
    </row>
    <row r="235" spans="1:4" x14ac:dyDescent="0.2">
      <c r="C235" s="23"/>
      <c r="D235" s="23"/>
    </row>
    <row r="236" spans="1:4" x14ac:dyDescent="0.2">
      <c r="C236" s="23"/>
      <c r="D236" s="23"/>
    </row>
    <row r="237" spans="1:4" x14ac:dyDescent="0.2">
      <c r="C237" s="23"/>
      <c r="D237" s="23"/>
    </row>
    <row r="238" spans="1:4" x14ac:dyDescent="0.2">
      <c r="C238" s="23"/>
      <c r="D238" s="23"/>
    </row>
    <row r="239" spans="1:4" x14ac:dyDescent="0.2">
      <c r="C239" s="23"/>
      <c r="D239" s="23"/>
    </row>
    <row r="240" spans="1:4" x14ac:dyDescent="0.2">
      <c r="C240" s="23"/>
      <c r="D240" s="23"/>
    </row>
    <row r="241" spans="3:4" x14ac:dyDescent="0.2">
      <c r="C241" s="23"/>
      <c r="D241" s="23"/>
    </row>
    <row r="242" spans="3:4" x14ac:dyDescent="0.2">
      <c r="C242" s="23"/>
      <c r="D242" s="23"/>
    </row>
    <row r="243" spans="3:4" x14ac:dyDescent="0.2">
      <c r="C243" s="23"/>
      <c r="D243" s="23"/>
    </row>
    <row r="244" spans="3:4" x14ac:dyDescent="0.2">
      <c r="C244" s="23"/>
      <c r="D244" s="23"/>
    </row>
    <row r="245" spans="3:4" x14ac:dyDescent="0.2">
      <c r="C245" s="23"/>
      <c r="D245" s="23"/>
    </row>
    <row r="246" spans="3:4" x14ac:dyDescent="0.2">
      <c r="C246" s="23"/>
      <c r="D246" s="23"/>
    </row>
    <row r="247" spans="3:4" x14ac:dyDescent="0.2">
      <c r="C247" s="23"/>
      <c r="D247" s="23"/>
    </row>
    <row r="248" spans="3:4" x14ac:dyDescent="0.2">
      <c r="C248" s="23"/>
      <c r="D248" s="23"/>
    </row>
    <row r="249" spans="3:4" x14ac:dyDescent="0.2">
      <c r="C249" s="23"/>
      <c r="D249" s="23"/>
    </row>
    <row r="250" spans="3:4" x14ac:dyDescent="0.2">
      <c r="C250" s="23"/>
      <c r="D250" s="23"/>
    </row>
  </sheetData>
  <mergeCells count="1">
    <mergeCell ref="A2:E2"/>
  </mergeCells>
  <pageMargins left="0.70866141732283472" right="0.70866141732283472" top="0.74803149606299213" bottom="0.74803149606299213" header="0.31496062992125984" footer="0.31496062992125984"/>
  <pageSetup paperSize="9" scale="70" fitToHeight="50" orientation="portrait" horizontalDpi="300" verticalDpi="300" r:id="rId1"/>
  <headerFooter>
    <oddFooter>&amp;L&amp;P&amp;R&amp;Z&amp;F&amp;A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W75"/>
  <sheetViews>
    <sheetView zoomScale="60" zoomScaleNormal="60" zoomScaleSheetLayoutView="40" workbookViewId="0">
      <selection activeCell="A6" sqref="A6:A12"/>
    </sheetView>
  </sheetViews>
  <sheetFormatPr defaultRowHeight="15" x14ac:dyDescent="0.25"/>
  <cols>
    <col min="1" max="1" width="29.7109375" style="1215" customWidth="1"/>
    <col min="2" max="2" width="26.85546875" style="1215" customWidth="1"/>
    <col min="3" max="3" width="26.140625" style="1215" customWidth="1"/>
    <col min="4" max="4" width="26" style="1215" customWidth="1"/>
    <col min="5" max="5" width="24.7109375" style="1215" customWidth="1"/>
    <col min="6" max="6" width="25.140625" style="1215" customWidth="1"/>
    <col min="7" max="7" width="25.42578125" style="1215" customWidth="1"/>
    <col min="8" max="8" width="23.5703125" style="1215" customWidth="1"/>
    <col min="9" max="9" width="24.140625" style="1215" customWidth="1"/>
    <col min="10" max="10" width="23.85546875" style="1215" customWidth="1"/>
    <col min="11" max="12" width="24.140625" style="1215" customWidth="1"/>
    <col min="13" max="13" width="22" style="1215" customWidth="1"/>
    <col min="14" max="14" width="26.5703125" style="1215" customWidth="1"/>
    <col min="15" max="15" width="25.5703125" style="1215" customWidth="1"/>
    <col min="16" max="16" width="25" style="1215" customWidth="1"/>
    <col min="17" max="17" width="24.140625" style="1215" customWidth="1"/>
    <col min="18" max="18" width="23.85546875" style="1215" customWidth="1"/>
    <col min="19" max="19" width="21.85546875" style="1215" customWidth="1"/>
    <col min="20" max="20" width="22.5703125" style="1215" customWidth="1"/>
    <col min="21" max="21" width="23.140625" style="1215" customWidth="1"/>
    <col min="22" max="22" width="20.140625" style="1215" customWidth="1"/>
    <col min="23" max="25" width="20.140625" style="1215" hidden="1" customWidth="1"/>
    <col min="26" max="26" width="20.140625" style="1215" customWidth="1"/>
    <col min="27" max="27" width="20.140625" style="1215" hidden="1" customWidth="1"/>
    <col min="28" max="28" width="21" style="1215" hidden="1" customWidth="1"/>
    <col min="29" max="29" width="18.28515625" style="1215" hidden="1" customWidth="1"/>
    <col min="30" max="30" width="21" style="1215" bestFit="1" customWidth="1"/>
    <col min="31" max="32" width="19.42578125" style="1215" hidden="1" customWidth="1"/>
    <col min="33" max="33" width="18.28515625" style="1215" customWidth="1"/>
    <col min="34" max="35" width="18.28515625" style="1215" hidden="1" customWidth="1"/>
    <col min="36" max="36" width="19.42578125" style="1215" bestFit="1" customWidth="1"/>
    <col min="37" max="37" width="18.28515625" style="1215" customWidth="1"/>
    <col min="38" max="38" width="19.42578125" style="1215" bestFit="1" customWidth="1"/>
    <col min="39" max="39" width="18.28515625" style="1215" customWidth="1"/>
    <col min="40" max="40" width="26" style="1215" customWidth="1"/>
    <col min="41" max="41" width="25.5703125" style="1215" customWidth="1"/>
    <col min="42" max="42" width="24.140625" style="1215" customWidth="1"/>
    <col min="43" max="43" width="22.42578125" style="1215" hidden="1" customWidth="1"/>
    <col min="44" max="44" width="36.42578125" style="1215" hidden="1" customWidth="1"/>
    <col min="45" max="45" width="22.42578125" style="1215" bestFit="1" customWidth="1"/>
    <col min="46" max="46" width="22.42578125" style="1215" hidden="1" customWidth="1"/>
    <col min="47" max="47" width="36.42578125" style="1215" hidden="1" customWidth="1"/>
    <col min="48" max="48" width="23.85546875" style="1215" hidden="1" customWidth="1"/>
    <col min="49" max="49" width="36.42578125" style="1215" hidden="1" customWidth="1"/>
    <col min="50" max="50" width="23.85546875" style="1215" hidden="1" customWidth="1"/>
    <col min="51" max="51" width="36.42578125" style="1215" hidden="1" customWidth="1"/>
    <col min="52" max="52" width="23.85546875" style="1215" hidden="1" customWidth="1"/>
    <col min="53" max="53" width="36.42578125" style="1215" hidden="1" customWidth="1"/>
    <col min="54" max="54" width="23.85546875" style="1215" hidden="1" customWidth="1"/>
    <col min="55" max="55" width="36.42578125" style="1215" hidden="1" customWidth="1"/>
    <col min="56" max="56" width="23.85546875" style="1215" hidden="1" customWidth="1"/>
    <col min="57" max="57" width="36.42578125" style="1215" hidden="1" customWidth="1"/>
    <col min="58" max="58" width="23.85546875" style="1215" hidden="1" customWidth="1"/>
    <col min="59" max="59" width="36.42578125" style="1215" hidden="1" customWidth="1"/>
    <col min="60" max="60" width="26.140625" style="1215" customWidth="1"/>
    <col min="61" max="61" width="22.42578125" style="1215" hidden="1" customWidth="1"/>
    <col min="62" max="62" width="26.7109375" style="1215" customWidth="1"/>
    <col min="63" max="63" width="21" style="1215" hidden="1" customWidth="1"/>
    <col min="64" max="64" width="22.42578125" style="1215" bestFit="1" customWidth="1"/>
    <col min="65" max="65" width="22.42578125" style="1215" hidden="1" customWidth="1"/>
    <col min="66" max="66" width="21" style="1215" bestFit="1" customWidth="1"/>
    <col min="67" max="67" width="21" style="1215" hidden="1" customWidth="1"/>
    <col min="68" max="68" width="17.140625" style="1215" customWidth="1"/>
    <col min="69" max="69" width="20.5703125" style="1215" customWidth="1"/>
    <col min="70" max="70" width="22.42578125" style="1215" bestFit="1" customWidth="1"/>
    <col min="71" max="71" width="21" style="1215" bestFit="1" customWidth="1"/>
    <col min="72" max="73" width="31.5703125" style="1215" hidden="1" customWidth="1"/>
    <col min="74" max="79" width="18.85546875" style="1215" hidden="1" customWidth="1"/>
    <col min="80" max="80" width="23.5703125" style="1215" customWidth="1"/>
    <col min="81" max="82" width="23.5703125" style="1215" hidden="1" customWidth="1"/>
    <col min="83" max="83" width="23.5703125" style="1215" customWidth="1"/>
    <col min="84" max="85" width="23.5703125" style="1215" hidden="1" customWidth="1"/>
    <col min="86" max="87" width="28.5703125" style="1215" hidden="1" customWidth="1"/>
    <col min="88" max="93" width="18.85546875" style="1215" hidden="1" customWidth="1"/>
    <col min="94" max="94" width="23.28515625" style="1215" customWidth="1"/>
    <col min="95" max="95" width="21" style="1215" hidden="1" customWidth="1"/>
    <col min="96" max="96" width="23.140625" style="1215" hidden="1" customWidth="1"/>
    <col min="97" max="97" width="20.42578125" style="1215" customWidth="1"/>
    <col min="98" max="98" width="21" style="1215" hidden="1" customWidth="1"/>
    <col min="99" max="99" width="21.85546875" style="1215" hidden="1" customWidth="1"/>
    <col min="100" max="100" width="24.42578125" style="1215" bestFit="1" customWidth="1"/>
    <col min="101" max="106" width="26.140625" style="1215" hidden="1" customWidth="1"/>
    <col min="107" max="107" width="23.7109375" style="1215" customWidth="1"/>
    <col min="108" max="113" width="26.5703125" style="1215" hidden="1" customWidth="1"/>
    <col min="114" max="114" width="21.42578125" style="1215" customWidth="1"/>
    <col min="115" max="116" width="24.42578125" style="1215" hidden="1" customWidth="1"/>
    <col min="117" max="117" width="21.42578125" style="1215" customWidth="1"/>
    <col min="118" max="119" width="26.85546875" style="1215" hidden="1" customWidth="1"/>
    <col min="120" max="123" width="21.42578125" style="1215" customWidth="1"/>
    <col min="124" max="124" width="23.140625" style="1215" customWidth="1"/>
    <col min="125" max="127" width="21.28515625" style="1215" hidden="1" customWidth="1"/>
    <col min="128" max="128" width="21.5703125" style="1215" customWidth="1"/>
    <col min="129" max="131" width="21.28515625" style="1215" hidden="1" customWidth="1"/>
    <col min="132" max="132" width="24.42578125" style="1215" customWidth="1"/>
    <col min="133" max="134" width="26.7109375" style="1215" hidden="1" customWidth="1"/>
    <col min="135" max="135" width="24" style="1215" customWidth="1"/>
    <col min="136" max="137" width="27.85546875" style="1215" hidden="1" customWidth="1"/>
    <col min="138" max="139" width="21.28515625" style="1215" hidden="1" customWidth="1"/>
    <col min="140" max="140" width="25.5703125" style="1215" hidden="1" customWidth="1"/>
    <col min="141" max="142" width="21.28515625" style="1215" hidden="1" customWidth="1"/>
    <col min="143" max="143" width="26.140625" style="1215" hidden="1" customWidth="1"/>
    <col min="144" max="144" width="24.85546875" style="1215" customWidth="1"/>
    <col min="145" max="147" width="25.42578125" style="1215" hidden="1" customWidth="1"/>
    <col min="148" max="148" width="25.42578125" style="1215" customWidth="1"/>
    <col min="149" max="151" width="25.42578125" style="1215" hidden="1" customWidth="1"/>
    <col min="152" max="152" width="23.5703125" style="1215" customWidth="1"/>
    <col min="153" max="154" width="25.42578125" style="1215" hidden="1" customWidth="1"/>
    <col min="155" max="155" width="23.140625" style="1215" customWidth="1"/>
    <col min="156" max="156" width="23.7109375" style="1215" hidden="1" customWidth="1"/>
    <col min="157" max="157" width="24.140625" style="1215" hidden="1" customWidth="1"/>
    <col min="158" max="158" width="22.85546875" style="1215" customWidth="1"/>
    <col min="159" max="160" width="25.85546875" style="1215" hidden="1" customWidth="1"/>
    <col min="161" max="161" width="22" style="1215" customWidth="1"/>
    <col min="162" max="163" width="25.85546875" style="1215" hidden="1" customWidth="1"/>
    <col min="164" max="164" width="21.7109375" style="1215" customWidth="1"/>
    <col min="165" max="166" width="23.85546875" style="1215" hidden="1" customWidth="1"/>
    <col min="167" max="167" width="23.85546875" style="1215" customWidth="1"/>
    <col min="168" max="169" width="23.85546875" style="1215" hidden="1" customWidth="1"/>
    <col min="170" max="170" width="21.28515625" style="1215" customWidth="1"/>
    <col min="171" max="172" width="23.85546875" style="1215" hidden="1" customWidth="1"/>
    <col min="173" max="173" width="23.85546875" style="1215" customWidth="1"/>
    <col min="174" max="175" width="23.85546875" style="1215" hidden="1" customWidth="1"/>
    <col min="176" max="176" width="23.85546875" style="1215" customWidth="1"/>
    <col min="177" max="178" width="23.85546875" style="1215" hidden="1" customWidth="1"/>
    <col min="179" max="179" width="23.85546875" style="1215" customWidth="1"/>
    <col min="180" max="180" width="23.85546875" style="1215" hidden="1" customWidth="1"/>
    <col min="181" max="181" width="26.85546875" style="1215" hidden="1" customWidth="1"/>
    <col min="182" max="187" width="23.85546875" style="1215" hidden="1" customWidth="1"/>
    <col min="188" max="188" width="23.85546875" style="1215" customWidth="1"/>
    <col min="189" max="190" width="23.85546875" style="1215" hidden="1" customWidth="1"/>
    <col min="191" max="191" width="23.85546875" style="1215" customWidth="1"/>
    <col min="192" max="193" width="23.85546875" style="1215" hidden="1" customWidth="1"/>
    <col min="194" max="194" width="23.85546875" style="1215" customWidth="1"/>
    <col min="195" max="196" width="23.85546875" style="1215" hidden="1" customWidth="1"/>
    <col min="197" max="197" width="23.85546875" style="1215" customWidth="1"/>
    <col min="198" max="199" width="23.85546875" style="1215" hidden="1" customWidth="1"/>
    <col min="200" max="203" width="23.85546875" style="1215" customWidth="1"/>
    <col min="204" max="204" width="25.28515625" style="1215" customWidth="1"/>
    <col min="205" max="205" width="25.42578125" style="1215" hidden="1" customWidth="1"/>
    <col min="206" max="206" width="24.5703125" style="1215" hidden="1" customWidth="1"/>
    <col min="207" max="207" width="23.5703125" style="1215" hidden="1" customWidth="1"/>
    <col min="208" max="208" width="23.5703125" style="1215" customWidth="1"/>
    <col min="209" max="209" width="24.5703125" style="1215" hidden="1" customWidth="1"/>
    <col min="210" max="210" width="25" style="1215" hidden="1" customWidth="1"/>
    <col min="211" max="211" width="22.85546875" style="1215" hidden="1" customWidth="1"/>
    <col min="212" max="212" width="22.42578125" style="1215" bestFit="1" customWidth="1"/>
    <col min="213" max="213" width="22.42578125" style="1215" hidden="1" customWidth="1"/>
    <col min="214" max="214" width="21" style="1215" bestFit="1" customWidth="1"/>
    <col min="215" max="215" width="23.5703125" style="1215" hidden="1" customWidth="1"/>
    <col min="216" max="219" width="22.85546875" style="1215" customWidth="1"/>
    <col min="220" max="220" width="38.5703125" style="1215" customWidth="1"/>
    <col min="221" max="222" width="25.28515625" style="1215" hidden="1" customWidth="1"/>
    <col min="223" max="223" width="32.7109375" style="1215" customWidth="1"/>
    <col min="224" max="225" width="26.140625" style="1215" hidden="1" customWidth="1"/>
    <col min="226" max="226" width="25.5703125" style="1215" customWidth="1"/>
    <col min="227" max="228" width="25.5703125" style="1215" hidden="1" customWidth="1"/>
    <col min="229" max="229" width="25.5703125" style="1215" customWidth="1"/>
    <col min="230" max="231" width="25.5703125" style="1215" hidden="1" customWidth="1"/>
    <col min="232" max="232" width="22.85546875" style="1215" customWidth="1"/>
    <col min="233" max="234" width="24.140625" style="1215" hidden="1" customWidth="1"/>
    <col min="235" max="235" width="24.140625" style="1215" customWidth="1"/>
    <col min="236" max="237" width="24.140625" style="1215" hidden="1" customWidth="1"/>
    <col min="238" max="238" width="24.140625" style="1215" customWidth="1"/>
    <col min="239" max="240" width="24.140625" style="1215" hidden="1" customWidth="1"/>
    <col min="241" max="241" width="24.140625" style="1215" customWidth="1"/>
    <col min="242" max="243" width="24.140625" style="1215" hidden="1" customWidth="1"/>
    <col min="244" max="244" width="24.140625" style="1215" customWidth="1"/>
    <col min="245" max="246" width="24.140625" style="1215" hidden="1" customWidth="1"/>
    <col min="247" max="247" width="26.42578125" style="1215" customWidth="1"/>
    <col min="248" max="249" width="26.42578125" style="1215" hidden="1" customWidth="1"/>
    <col min="250" max="250" width="26.42578125" style="1215" customWidth="1"/>
    <col min="251" max="252" width="26.42578125" style="1215" hidden="1" customWidth="1"/>
    <col min="253" max="253" width="26.42578125" style="1215" customWidth="1"/>
    <col min="254" max="255" width="26.42578125" style="1215" hidden="1" customWidth="1"/>
    <col min="256" max="256" width="26.42578125" style="1215" customWidth="1"/>
    <col min="257" max="258" width="26.42578125" style="1215" hidden="1" customWidth="1"/>
    <col min="259" max="259" width="26.42578125" style="1215" customWidth="1"/>
    <col min="260" max="261" width="26.42578125" style="1215" hidden="1" customWidth="1"/>
    <col min="262" max="265" width="26.42578125" style="1215" customWidth="1"/>
    <col min="266" max="266" width="24.5703125" style="1215" customWidth="1"/>
    <col min="267" max="268" width="24.5703125" style="1215" hidden="1" customWidth="1"/>
    <col min="269" max="269" width="24.5703125" style="1215" customWidth="1"/>
    <col min="270" max="271" width="24.5703125" style="1215" hidden="1" customWidth="1"/>
    <col min="272" max="272" width="22.5703125" style="1215" customWidth="1"/>
    <col min="273" max="274" width="24.5703125" style="1215" hidden="1" customWidth="1"/>
    <col min="275" max="275" width="24.5703125" style="1215" customWidth="1"/>
    <col min="276" max="277" width="24.5703125" style="1215" hidden="1" customWidth="1"/>
    <col min="278" max="301" width="25.5703125" style="1215" hidden="1" customWidth="1"/>
    <col min="302" max="302" width="22.85546875" style="1215" customWidth="1"/>
    <col min="303" max="306" width="25.5703125" style="1215" hidden="1" customWidth="1"/>
    <col min="307" max="307" width="22.85546875" style="1215" customWidth="1"/>
    <col min="308" max="312" width="25.5703125" style="1215" hidden="1" customWidth="1"/>
    <col min="313" max="333" width="24.42578125" style="1215" hidden="1" customWidth="1"/>
    <col min="334" max="334" width="21.85546875" style="1215" customWidth="1"/>
    <col min="335" max="337" width="24.42578125" style="1215" hidden="1" customWidth="1"/>
    <col min="338" max="338" width="24.42578125" style="1215" customWidth="1"/>
    <col min="339" max="341" width="24.42578125" style="1215" hidden="1" customWidth="1"/>
    <col min="342" max="342" width="23.42578125" style="1215" customWidth="1"/>
    <col min="343" max="345" width="26.140625" style="1215" hidden="1" customWidth="1"/>
    <col min="346" max="346" width="26.140625" style="1215" customWidth="1"/>
    <col min="347" max="349" width="26.140625" style="1215" hidden="1" customWidth="1"/>
    <col min="350" max="350" width="23.5703125" style="1215" customWidth="1"/>
    <col min="351" max="353" width="26.140625" style="1215" hidden="1" customWidth="1"/>
    <col min="354" max="354" width="22.140625" style="1215" customWidth="1"/>
    <col min="355" max="357" width="26.140625" style="1215" hidden="1" customWidth="1"/>
    <col min="358" max="358" width="22.7109375" style="1215" customWidth="1"/>
    <col min="359" max="361" width="26.140625" style="1215" hidden="1" customWidth="1"/>
    <col min="362" max="362" width="21.85546875" style="1215" customWidth="1"/>
    <col min="363" max="365" width="26.140625" style="1215" hidden="1" customWidth="1"/>
    <col min="366" max="366" width="22" style="1215" customWidth="1"/>
    <col min="367" max="373" width="25.42578125" style="1215" hidden="1" customWidth="1"/>
    <col min="374" max="374" width="21.7109375" style="1215" customWidth="1"/>
    <col min="375" max="381" width="25.42578125" style="1215" hidden="1" customWidth="1"/>
    <col min="382" max="382" width="21.7109375" style="1215" customWidth="1"/>
    <col min="383" max="384" width="25.42578125" style="1215" hidden="1" customWidth="1"/>
    <col min="385" max="385" width="21.140625" style="1215" customWidth="1"/>
    <col min="386" max="387" width="25.42578125" style="1215" hidden="1" customWidth="1"/>
    <col min="388" max="388" width="22.42578125" style="1215" customWidth="1"/>
    <col min="389" max="390" width="25.42578125" style="1215" hidden="1" customWidth="1"/>
    <col min="391" max="391" width="23.5703125" style="1215" customWidth="1"/>
    <col min="392" max="393" width="25.42578125" style="1215" hidden="1" customWidth="1"/>
    <col min="394" max="394" width="21.7109375" style="1215" customWidth="1"/>
    <col min="395" max="396" width="25.42578125" style="1215" hidden="1" customWidth="1"/>
    <col min="397" max="397" width="21.42578125" style="1215" customWidth="1"/>
    <col min="398" max="399" width="25.42578125" style="1215" hidden="1" customWidth="1"/>
    <col min="400" max="401" width="23" style="1215" hidden="1" customWidth="1"/>
    <col min="402" max="402" width="24.140625" style="1215" hidden="1" customWidth="1"/>
    <col min="403" max="405" width="23" style="1215" hidden="1" customWidth="1"/>
    <col min="406" max="406" width="24.140625" style="1215" hidden="1" customWidth="1"/>
    <col min="407" max="407" width="23" style="1215" hidden="1" customWidth="1"/>
    <col min="408" max="408" width="23" style="1215" customWidth="1"/>
    <col min="409" max="409" width="24.42578125" style="1215" hidden="1" customWidth="1"/>
    <col min="410" max="410" width="24.140625" style="1215" hidden="1" customWidth="1"/>
    <col min="411" max="411" width="23" style="1215" hidden="1" customWidth="1"/>
    <col min="412" max="412" width="23" style="1215" customWidth="1"/>
    <col min="413" max="413" width="24.42578125" style="1215" hidden="1" customWidth="1"/>
    <col min="414" max="414" width="24.140625" style="1215" hidden="1" customWidth="1"/>
    <col min="415" max="415" width="23" style="1215" hidden="1" customWidth="1"/>
    <col min="416" max="416" width="22.85546875" style="1215" customWidth="1"/>
    <col min="417" max="419" width="24.42578125" style="1215" hidden="1" customWidth="1"/>
    <col min="420" max="420" width="24.42578125" style="1215" customWidth="1"/>
    <col min="421" max="423" width="24.42578125" style="1215" hidden="1" customWidth="1"/>
    <col min="424" max="424" width="22.5703125" style="1215" customWidth="1"/>
    <col min="425" max="427" width="24.42578125" style="1215" hidden="1" customWidth="1"/>
    <col min="428" max="428" width="24.42578125" style="1215" customWidth="1"/>
    <col min="429" max="431" width="24.42578125" style="1215" hidden="1" customWidth="1"/>
    <col min="432" max="432" width="22.42578125" style="1215" customWidth="1"/>
    <col min="433" max="435" width="24.42578125" style="1215" hidden="1" customWidth="1"/>
    <col min="436" max="436" width="24.42578125" style="1215" customWidth="1"/>
    <col min="437" max="439" width="24.42578125" style="1215" hidden="1" customWidth="1"/>
    <col min="440" max="440" width="22.140625" style="1215" customWidth="1"/>
    <col min="441" max="441" width="22.140625" style="1215" hidden="1" customWidth="1"/>
    <col min="442" max="442" width="26" style="1215" hidden="1" customWidth="1"/>
    <col min="443" max="443" width="22.5703125" style="1215" hidden="1" customWidth="1"/>
    <col min="444" max="444" width="25.140625" style="1215" hidden="1" customWidth="1"/>
    <col min="445" max="445" width="22.140625" style="1215" customWidth="1"/>
    <col min="446" max="446" width="21.7109375" style="1215" hidden="1" customWidth="1"/>
    <col min="447" max="449" width="26" style="1215" hidden="1" customWidth="1"/>
    <col min="450" max="450" width="22.140625" style="1215" customWidth="1"/>
    <col min="451" max="451" width="21.140625" style="1215" hidden="1" customWidth="1"/>
    <col min="452" max="452" width="25.7109375" style="1215" hidden="1" customWidth="1"/>
    <col min="453" max="453" width="22.140625" style="1215" customWidth="1"/>
    <col min="454" max="454" width="20" style="1215" hidden="1" customWidth="1"/>
    <col min="455" max="455" width="25.42578125" style="1215" hidden="1" customWidth="1"/>
    <col min="456" max="456" width="22.140625" style="1215" customWidth="1"/>
    <col min="457" max="457" width="20.85546875" style="1215" hidden="1" customWidth="1"/>
    <col min="458" max="458" width="24.85546875" style="1215" hidden="1" customWidth="1"/>
    <col min="459" max="459" width="22.140625" style="1215" customWidth="1"/>
    <col min="460" max="460" width="22.140625" style="1215" hidden="1" customWidth="1"/>
    <col min="461" max="461" width="27.28515625" style="1215" hidden="1" customWidth="1"/>
    <col min="462" max="462" width="22.140625" style="1215" customWidth="1"/>
    <col min="463" max="463" width="22.140625" style="1215" hidden="1" customWidth="1"/>
    <col min="464" max="464" width="25.42578125" style="1215" hidden="1" customWidth="1"/>
    <col min="465" max="465" width="22.140625" style="1215" customWidth="1"/>
    <col min="466" max="466" width="22.140625" style="1215" hidden="1" customWidth="1"/>
    <col min="467" max="467" width="26.85546875" style="1215" hidden="1" customWidth="1"/>
    <col min="468" max="468" width="22.140625" style="1215" customWidth="1"/>
    <col min="469" max="470" width="26.85546875" style="1215" hidden="1" customWidth="1"/>
    <col min="471" max="471" width="22.140625" style="1215" customWidth="1"/>
    <col min="472" max="473" width="26" style="1215" hidden="1" customWidth="1"/>
    <col min="474" max="474" width="22.140625" style="1215" hidden="1" customWidth="1"/>
    <col min="475" max="475" width="24.28515625" style="1215" hidden="1" customWidth="1"/>
    <col min="476" max="476" width="25" style="1215" hidden="1" customWidth="1"/>
    <col min="477" max="477" width="22.140625" style="1215" hidden="1" customWidth="1"/>
    <col min="478" max="478" width="24.28515625" style="1215" hidden="1" customWidth="1"/>
    <col min="479" max="479" width="25" style="1215" hidden="1" customWidth="1"/>
    <col min="480" max="480" width="19.85546875" style="1215" hidden="1" customWidth="1"/>
    <col min="481" max="481" width="24.28515625" style="1215" hidden="1" customWidth="1"/>
    <col min="482" max="482" width="25" style="1215" hidden="1" customWidth="1"/>
    <col min="483" max="483" width="19.85546875" style="1215" hidden="1" customWidth="1"/>
    <col min="484" max="484" width="24.28515625" style="1215" hidden="1" customWidth="1"/>
    <col min="485" max="485" width="25" style="1215" hidden="1" customWidth="1"/>
    <col min="486" max="486" width="19.85546875" style="1215" hidden="1" customWidth="1"/>
    <col min="487" max="487" width="24.28515625" style="1215" hidden="1" customWidth="1"/>
    <col min="488" max="488" width="25" style="1215" hidden="1" customWidth="1"/>
    <col min="489" max="489" width="19.85546875" style="1215" hidden="1" customWidth="1"/>
    <col min="490" max="490" width="24.28515625" style="1215" hidden="1" customWidth="1"/>
    <col min="491" max="491" width="25" style="1215" hidden="1" customWidth="1"/>
    <col min="492" max="492" width="19.85546875" style="1215" hidden="1" customWidth="1"/>
    <col min="493" max="493" width="24.28515625" style="1215" hidden="1" customWidth="1"/>
    <col min="494" max="494" width="25" style="1215" hidden="1" customWidth="1"/>
    <col min="495" max="495" width="19.85546875" style="1215" hidden="1" customWidth="1"/>
    <col min="496" max="496" width="24.28515625" style="1215" hidden="1" customWidth="1"/>
    <col min="497" max="497" width="25" style="1215" hidden="1" customWidth="1"/>
    <col min="498" max="498" width="19.85546875" style="1215" hidden="1" customWidth="1"/>
    <col min="499" max="499" width="23.5703125" style="1215" hidden="1" customWidth="1"/>
    <col min="500" max="500" width="24.28515625" style="1215" hidden="1" customWidth="1"/>
    <col min="501" max="501" width="19.85546875" style="1215" hidden="1" customWidth="1"/>
    <col min="502" max="502" width="23.5703125" style="1215" hidden="1" customWidth="1"/>
    <col min="503" max="503" width="24.28515625" style="1215" hidden="1" customWidth="1"/>
    <col min="504" max="504" width="23.5703125" style="1215" customWidth="1"/>
    <col min="505" max="505" width="22.42578125" style="1215" hidden="1" customWidth="1"/>
    <col min="506" max="507" width="26.140625" style="1215" hidden="1" customWidth="1"/>
    <col min="508" max="508" width="24.140625" style="1215" customWidth="1"/>
    <col min="509" max="511" width="25" style="1215" hidden="1" customWidth="1"/>
    <col min="512" max="512" width="18.5703125" style="1215" hidden="1" customWidth="1"/>
    <col min="513" max="514" width="24.140625" style="1215" hidden="1" customWidth="1"/>
    <col min="515" max="515" width="18.5703125" style="1215" hidden="1" customWidth="1"/>
    <col min="516" max="517" width="26.5703125" style="1215" hidden="1" customWidth="1"/>
    <col min="518" max="518" width="25.140625" style="1215" customWidth="1"/>
    <col min="519" max="519" width="23.42578125" style="1215" hidden="1" customWidth="1"/>
    <col min="520" max="520" width="24.42578125" style="1215" hidden="1" customWidth="1"/>
    <col min="521" max="521" width="23.42578125" style="1215" hidden="1" customWidth="1"/>
    <col min="522" max="522" width="24.42578125" style="1215" hidden="1" customWidth="1"/>
    <col min="523" max="523" width="23.42578125" style="1215" hidden="1" customWidth="1"/>
    <col min="524" max="524" width="24.42578125" style="1215" hidden="1" customWidth="1"/>
    <col min="525" max="525" width="23.42578125" style="1215" customWidth="1"/>
    <col min="526" max="526" width="23.42578125" style="1215" hidden="1" customWidth="1"/>
    <col min="527" max="527" width="24.42578125" style="1215" hidden="1" customWidth="1"/>
    <col min="528" max="528" width="23.42578125" style="1215" hidden="1" customWidth="1"/>
    <col min="529" max="529" width="24.42578125" style="1215" hidden="1" customWidth="1"/>
    <col min="530" max="530" width="23.42578125" style="1215" hidden="1" customWidth="1"/>
    <col min="531" max="531" width="24.42578125" style="1215" hidden="1" customWidth="1"/>
    <col min="532" max="532" width="23.42578125" style="1215" customWidth="1"/>
    <col min="533" max="533" width="23.42578125" style="1215" hidden="1" customWidth="1"/>
    <col min="534" max="534" width="24.42578125" style="1215" hidden="1" customWidth="1"/>
    <col min="535" max="535" width="23.42578125" style="1215" hidden="1" customWidth="1"/>
    <col min="536" max="536" width="24.42578125" style="1215" hidden="1" customWidth="1"/>
    <col min="537" max="537" width="23.42578125" style="1215" hidden="1" customWidth="1"/>
    <col min="538" max="538" width="24.42578125" style="1215" hidden="1" customWidth="1"/>
    <col min="539" max="539" width="23.42578125" style="1215" customWidth="1"/>
    <col min="540" max="540" width="23.42578125" style="1215" hidden="1" customWidth="1"/>
    <col min="541" max="541" width="24.42578125" style="1215" hidden="1" customWidth="1"/>
    <col min="542" max="542" width="23.42578125" style="1215" hidden="1" customWidth="1"/>
    <col min="543" max="543" width="24.42578125" style="1215" hidden="1" customWidth="1"/>
    <col min="544" max="544" width="23.42578125" style="1215" hidden="1" customWidth="1"/>
    <col min="545" max="545" width="24.42578125" style="1215" hidden="1" customWidth="1"/>
    <col min="546" max="546" width="21.5703125" style="1215" customWidth="1"/>
    <col min="547" max="552" width="23.85546875" style="1215" hidden="1" customWidth="1"/>
    <col min="553" max="553" width="22" style="1215" customWidth="1"/>
    <col min="554" max="559" width="25.5703125" style="1215" hidden="1" customWidth="1"/>
    <col min="560" max="560" width="22" style="1215" customWidth="1"/>
    <col min="561" max="561" width="21.5703125" style="1215" hidden="1" customWidth="1"/>
    <col min="562" max="562" width="27.7109375" style="1215" hidden="1" customWidth="1"/>
    <col min="563" max="563" width="22.140625" style="1215" hidden="1" customWidth="1"/>
    <col min="564" max="564" width="27.7109375" style="1215" hidden="1" customWidth="1"/>
    <col min="565" max="565" width="21.85546875" style="1215" hidden="1" customWidth="1"/>
    <col min="566" max="566" width="27.7109375" style="1215" hidden="1" customWidth="1"/>
    <col min="567" max="567" width="22" style="1215" customWidth="1"/>
    <col min="568" max="568" width="23.5703125" style="1215" hidden="1" customWidth="1"/>
    <col min="569" max="569" width="27.42578125" style="1215" hidden="1" customWidth="1"/>
    <col min="570" max="570" width="22.42578125" style="1215" hidden="1" customWidth="1"/>
    <col min="571" max="571" width="27.42578125" style="1215" hidden="1" customWidth="1"/>
    <col min="572" max="572" width="21.85546875" style="1215" hidden="1" customWidth="1"/>
    <col min="573" max="573" width="27.42578125" style="1215" hidden="1" customWidth="1"/>
    <col min="574" max="574" width="25.5703125" style="1215" customWidth="1"/>
    <col min="575" max="575" width="27.42578125" style="1215" customWidth="1"/>
    <col min="576" max="576" width="22.42578125" style="1215" customWidth="1"/>
    <col min="577" max="577" width="21.42578125" style="1215" customWidth="1"/>
    <col min="578" max="578" width="21.5703125" style="1215" customWidth="1"/>
    <col min="579" max="579" width="21.140625" style="1215" customWidth="1"/>
    <col min="580" max="580" width="22.42578125" style="1215" customWidth="1"/>
    <col min="581" max="581" width="24.5703125" style="1215" customWidth="1"/>
    <col min="582" max="582" width="27.42578125" style="1215" customWidth="1"/>
    <col min="583" max="583" width="26" style="1215" hidden="1" customWidth="1"/>
    <col min="584" max="584" width="22.42578125" style="1215" hidden="1" customWidth="1"/>
    <col min="585" max="585" width="25.5703125" style="1215" customWidth="1"/>
    <col min="586" max="586" width="24.42578125" style="1215" hidden="1" customWidth="1"/>
    <col min="587" max="587" width="22.42578125" style="1215" hidden="1" customWidth="1"/>
    <col min="588" max="588" width="25.5703125" style="1215" customWidth="1"/>
    <col min="589" max="589" width="25.140625" style="1215" customWidth="1"/>
    <col min="590" max="591" width="23.140625" style="1215" customWidth="1"/>
    <col min="592" max="592" width="22.140625" style="1215" customWidth="1"/>
    <col min="593" max="593" width="20.5703125" style="1215" customWidth="1"/>
    <col min="594" max="594" width="21.85546875" style="1215" customWidth="1"/>
    <col min="595" max="595" width="20.140625" style="1215" customWidth="1"/>
    <col min="596" max="596" width="19.85546875" style="1215" customWidth="1"/>
    <col min="597" max="597" width="18.140625" style="1215" customWidth="1"/>
    <col min="598" max="598" width="28.85546875" style="1215" hidden="1" customWidth="1"/>
    <col min="599" max="599" width="29.85546875" style="1215" hidden="1" customWidth="1"/>
    <col min="600" max="600" width="21.140625" style="1215" customWidth="1"/>
    <col min="601" max="601" width="20.42578125" style="1215" customWidth="1"/>
    <col min="602" max="602" width="21.140625" style="1215" customWidth="1"/>
    <col min="603" max="603" width="21.42578125" style="1215" customWidth="1"/>
    <col min="604" max="604" width="23.42578125" style="1215" customWidth="1"/>
    <col min="605" max="605" width="22.42578125" style="1215" hidden="1" customWidth="1"/>
    <col min="606" max="606" width="25.5703125" style="1215" hidden="1" customWidth="1"/>
    <col min="607" max="607" width="23.42578125" style="1215" customWidth="1"/>
    <col min="608" max="608" width="21" style="1215" hidden="1" customWidth="1"/>
    <col min="609" max="609" width="27.140625" style="1215" hidden="1" customWidth="1"/>
    <col min="610" max="610" width="21.85546875" style="1215" customWidth="1"/>
    <col min="611" max="612" width="21" style="1215" hidden="1" customWidth="1"/>
    <col min="613" max="613" width="21.140625" style="1215" customWidth="1"/>
    <col min="614" max="614" width="21" style="1215" hidden="1" customWidth="1"/>
    <col min="615" max="615" width="19.42578125" style="1215" hidden="1" customWidth="1"/>
    <col min="616" max="617" width="26.140625" style="1215" customWidth="1"/>
    <col min="618" max="618" width="22.5703125" style="1215" customWidth="1"/>
    <col min="619" max="619" width="19.42578125" style="1215" hidden="1" customWidth="1"/>
    <col min="620" max="620" width="23.140625" style="1215" hidden="1" customWidth="1"/>
    <col min="621" max="621" width="21.42578125" style="1215" customWidth="1"/>
    <col min="622" max="622" width="19.85546875" style="1215" hidden="1" customWidth="1"/>
    <col min="623" max="623" width="22.85546875" style="1215" hidden="1" customWidth="1"/>
    <col min="624" max="624" width="24.7109375" style="1215" customWidth="1"/>
    <col min="625" max="625" width="19.42578125" style="1215" hidden="1" customWidth="1"/>
    <col min="626" max="626" width="22.7109375" style="1215" hidden="1" customWidth="1"/>
    <col min="627" max="627" width="23.42578125" style="1215" customWidth="1"/>
    <col min="628" max="628" width="20.5703125" style="1215" hidden="1" customWidth="1"/>
    <col min="629" max="629" width="20.85546875" style="1215" hidden="1" customWidth="1"/>
    <col min="630" max="630" width="23.85546875" style="1215" customWidth="1"/>
    <col min="631" max="631" width="20.140625" style="1215" hidden="1" customWidth="1"/>
    <col min="632" max="632" width="22.42578125" style="1215" hidden="1" customWidth="1"/>
    <col min="633" max="633" width="22.85546875" style="1215" customWidth="1"/>
    <col min="634" max="634" width="19.28515625" style="1215" hidden="1" customWidth="1"/>
    <col min="635" max="635" width="24.85546875" style="1215" hidden="1" customWidth="1"/>
    <col min="636" max="636" width="23.42578125" style="1215" customWidth="1"/>
    <col min="637" max="637" width="22.42578125" style="1215" hidden="1" customWidth="1"/>
    <col min="638" max="638" width="22.28515625" style="1215" customWidth="1"/>
    <col min="639" max="639" width="19.7109375" style="1215" hidden="1" customWidth="1"/>
    <col min="640" max="640" width="22.85546875" style="1215" customWidth="1"/>
    <col min="641" max="641" width="22.42578125" style="1215" hidden="1" customWidth="1"/>
    <col min="642" max="642" width="21.28515625" style="1215" customWidth="1"/>
    <col min="643" max="643" width="19.42578125" style="1215" hidden="1" customWidth="1"/>
    <col min="644" max="644" width="22.85546875" style="1215" customWidth="1"/>
    <col min="645" max="645" width="19.28515625" style="1215" customWidth="1"/>
    <col min="646" max="646" width="23.140625" style="1215" customWidth="1"/>
    <col min="647" max="647" width="21.42578125" style="1215" customWidth="1"/>
    <col min="648" max="648" width="26.28515625" style="1215" customWidth="1"/>
    <col min="649" max="650" width="22.42578125" style="1215" hidden="1" customWidth="1"/>
    <col min="651" max="651" width="21" style="1215" hidden="1" customWidth="1"/>
    <col min="652" max="654" width="22.42578125" style="1215" hidden="1" customWidth="1"/>
    <col min="655" max="655" width="21" style="1215" hidden="1" customWidth="1"/>
    <col min="656" max="656" width="18.42578125" style="1215" hidden="1" customWidth="1"/>
    <col min="657" max="657" width="19.42578125" style="1215" hidden="1" customWidth="1"/>
    <col min="658" max="658" width="22.42578125" style="1215" hidden="1" customWidth="1"/>
    <col min="659" max="659" width="24" style="1215" customWidth="1"/>
    <col min="660" max="660" width="22.42578125" style="1215" hidden="1" customWidth="1"/>
    <col min="661" max="662" width="21" style="1215" hidden="1" customWidth="1"/>
    <col min="663" max="663" width="22.42578125" style="1215" hidden="1" customWidth="1"/>
    <col min="664" max="664" width="22.140625" style="1215" hidden="1" customWidth="1"/>
    <col min="665" max="666" width="21" style="1215" hidden="1" customWidth="1"/>
    <col min="667" max="667" width="19.5703125" style="1215" hidden="1" customWidth="1"/>
    <col min="668" max="668" width="19" style="1215" hidden="1" customWidth="1"/>
    <col min="669" max="669" width="21" style="1215" hidden="1" customWidth="1"/>
    <col min="670" max="670" width="23.140625" style="1215" customWidth="1"/>
    <col min="671" max="672" width="21" style="1215" hidden="1" customWidth="1"/>
    <col min="673" max="673" width="22.42578125" style="1215" hidden="1" customWidth="1"/>
    <col min="674" max="675" width="21" style="1215" hidden="1" customWidth="1"/>
    <col min="676" max="676" width="21.5703125" style="1215" customWidth="1"/>
    <col min="677" max="678" width="21" style="1215" hidden="1" customWidth="1"/>
    <col min="679" max="679" width="17.42578125" style="1215" hidden="1" customWidth="1"/>
    <col min="680" max="680" width="21" style="1215" hidden="1" customWidth="1"/>
    <col min="681" max="681" width="17.42578125" style="1215" hidden="1" customWidth="1"/>
    <col min="682" max="682" width="22.42578125" style="1215" customWidth="1"/>
    <col min="683" max="683" width="21" style="1215" hidden="1" customWidth="1"/>
    <col min="684" max="684" width="17.42578125" style="1215" hidden="1" customWidth="1"/>
    <col min="685" max="685" width="22.42578125" style="1215" hidden="1" customWidth="1"/>
    <col min="686" max="687" width="21" style="1215" hidden="1" customWidth="1"/>
    <col min="688" max="688" width="21" style="1215" bestFit="1" customWidth="1"/>
    <col min="689" max="689" width="21" style="1215" hidden="1" customWidth="1"/>
    <col min="690" max="691" width="18.5703125" style="1215" hidden="1" customWidth="1"/>
    <col min="692" max="692" width="21" style="1215" hidden="1" customWidth="1"/>
    <col min="693" max="693" width="18.5703125" style="1215" hidden="1" customWidth="1"/>
    <col min="694" max="694" width="22.140625" style="1215" customWidth="1"/>
    <col min="695" max="696" width="21" style="1215" hidden="1" customWidth="1"/>
    <col min="697" max="699" width="19" style="1215" hidden="1" customWidth="1"/>
    <col min="700" max="700" width="21.85546875" style="1215" customWidth="1"/>
    <col min="701" max="701" width="19.42578125" style="1215" hidden="1" customWidth="1"/>
    <col min="702" max="702" width="21" style="1215" hidden="1" customWidth="1"/>
    <col min="703" max="705" width="20.85546875" style="1215" hidden="1" customWidth="1"/>
    <col min="706" max="706" width="25.85546875" style="1215" customWidth="1"/>
    <col min="707" max="707" width="23.5703125" style="1215" bestFit="1" customWidth="1"/>
    <col min="708" max="715" width="13.85546875" style="1215" customWidth="1"/>
    <col min="716" max="716" width="26.42578125" style="1215" customWidth="1"/>
    <col min="717" max="717" width="22.42578125" style="1215" customWidth="1"/>
    <col min="718" max="718" width="21.5703125" style="1215" customWidth="1"/>
    <col min="719" max="719" width="18.140625" style="1215" customWidth="1"/>
    <col min="720" max="720" width="18.42578125" style="1215" bestFit="1" customWidth="1"/>
    <col min="721" max="721" width="19.28515625" style="1215" customWidth="1"/>
    <col min="722" max="722" width="18.42578125" style="1215" bestFit="1" customWidth="1"/>
    <col min="723" max="723" width="17.140625" style="1215" customWidth="1"/>
    <col min="724" max="724" width="25.5703125" style="1215" bestFit="1" customWidth="1"/>
    <col min="725" max="725" width="25.42578125" style="1215" bestFit="1" customWidth="1"/>
    <col min="726" max="16384" width="9.140625" style="1215"/>
  </cols>
  <sheetData>
    <row r="1" spans="1:725" ht="16.5" x14ac:dyDescent="0.25">
      <c r="A1" s="694"/>
      <c r="B1" s="694"/>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c r="AJ1" s="694"/>
      <c r="AK1" s="694"/>
      <c r="AL1" s="694"/>
      <c r="AM1" s="694"/>
      <c r="AN1" s="694"/>
      <c r="AO1" s="694"/>
      <c r="AP1" s="694"/>
      <c r="AQ1" s="694"/>
      <c r="AR1" s="694"/>
      <c r="AS1" s="694"/>
      <c r="AT1" s="694"/>
      <c r="AU1" s="694"/>
      <c r="AV1" s="694"/>
      <c r="AW1" s="694"/>
      <c r="AX1" s="694"/>
      <c r="AY1" s="694"/>
      <c r="AZ1" s="694"/>
      <c r="BA1" s="694"/>
      <c r="BB1" s="694"/>
      <c r="BC1" s="694"/>
      <c r="BD1" s="694"/>
      <c r="BE1" s="694"/>
      <c r="BF1" s="694"/>
      <c r="BG1" s="694"/>
      <c r="BH1" s="694"/>
      <c r="BI1" s="694"/>
      <c r="BJ1" s="694"/>
      <c r="BK1" s="694"/>
      <c r="BL1" s="694"/>
      <c r="BM1" s="694"/>
      <c r="BN1" s="694"/>
      <c r="BO1" s="694"/>
      <c r="BP1" s="694"/>
      <c r="BQ1" s="694"/>
      <c r="BR1" s="694"/>
      <c r="BS1" s="694"/>
      <c r="BT1" s="694"/>
      <c r="BU1" s="694"/>
      <c r="BV1" s="694"/>
      <c r="BW1" s="694"/>
      <c r="BX1" s="694"/>
      <c r="BY1" s="694"/>
      <c r="BZ1" s="694"/>
      <c r="CA1" s="694"/>
      <c r="CB1" s="694"/>
      <c r="CC1" s="694"/>
      <c r="CD1" s="694"/>
      <c r="CE1" s="694"/>
      <c r="CF1" s="694"/>
      <c r="CG1" s="694"/>
      <c r="CH1" s="694"/>
      <c r="CI1" s="694"/>
      <c r="CJ1" s="694"/>
      <c r="CK1" s="694"/>
      <c r="CL1" s="694"/>
      <c r="CM1" s="694"/>
      <c r="CN1" s="694"/>
      <c r="CO1" s="694"/>
      <c r="CP1" s="694"/>
      <c r="CQ1" s="694"/>
      <c r="CR1" s="694"/>
      <c r="CS1" s="694"/>
      <c r="CT1" s="694"/>
      <c r="CU1" s="694"/>
      <c r="CV1" s="694"/>
      <c r="CW1" s="694"/>
      <c r="CX1" s="694"/>
      <c r="CY1" s="694"/>
      <c r="CZ1" s="694"/>
      <c r="DA1" s="694"/>
      <c r="DB1" s="694"/>
      <c r="DC1" s="694"/>
      <c r="DD1" s="694"/>
      <c r="DE1" s="694"/>
      <c r="DF1" s="694"/>
      <c r="DG1" s="694"/>
      <c r="DH1" s="694"/>
      <c r="DI1" s="694"/>
      <c r="DJ1" s="694"/>
      <c r="DK1" s="694"/>
      <c r="DL1" s="694"/>
      <c r="DM1" s="694"/>
      <c r="DN1" s="694"/>
      <c r="DO1" s="694"/>
      <c r="DP1" s="694"/>
      <c r="DQ1" s="694"/>
      <c r="DR1" s="694"/>
      <c r="DS1" s="694"/>
      <c r="DT1" s="694"/>
      <c r="DU1" s="694"/>
      <c r="DV1" s="694"/>
      <c r="DW1" s="694"/>
      <c r="DX1" s="694"/>
      <c r="DY1" s="694"/>
      <c r="DZ1" s="694"/>
      <c r="EA1" s="694"/>
      <c r="EB1" s="694"/>
      <c r="EC1" s="694"/>
      <c r="ED1" s="694"/>
      <c r="EE1" s="694"/>
      <c r="EF1" s="694"/>
      <c r="EG1" s="694"/>
      <c r="EH1" s="694"/>
      <c r="EI1" s="694"/>
      <c r="EJ1" s="694"/>
      <c r="EK1" s="694"/>
      <c r="EL1" s="694"/>
      <c r="EM1" s="694"/>
      <c r="EN1" s="694"/>
      <c r="EO1" s="694"/>
      <c r="EP1" s="694"/>
      <c r="EQ1" s="694"/>
      <c r="ER1" s="694"/>
      <c r="ES1" s="694"/>
      <c r="ET1" s="694"/>
      <c r="EU1" s="694"/>
      <c r="EV1" s="694"/>
      <c r="EW1" s="694"/>
      <c r="EX1" s="694"/>
      <c r="EY1" s="694"/>
      <c r="EZ1" s="694"/>
      <c r="FA1" s="694"/>
      <c r="FB1" s="694"/>
      <c r="FC1" s="694"/>
      <c r="FD1" s="694"/>
      <c r="FE1" s="694"/>
      <c r="FF1" s="694"/>
      <c r="FG1" s="694"/>
      <c r="FH1" s="694"/>
      <c r="FI1" s="694"/>
      <c r="FJ1" s="694"/>
      <c r="FK1" s="694"/>
      <c r="FL1" s="694"/>
      <c r="FM1" s="694"/>
      <c r="FN1" s="694"/>
      <c r="FO1" s="694"/>
      <c r="FP1" s="694"/>
      <c r="FQ1" s="694"/>
      <c r="FR1" s="694"/>
      <c r="FS1" s="694"/>
      <c r="FT1" s="694"/>
      <c r="FU1" s="694"/>
      <c r="FV1" s="694"/>
      <c r="FW1" s="694"/>
      <c r="FX1" s="694"/>
      <c r="FY1" s="694"/>
      <c r="FZ1" s="694"/>
      <c r="GA1" s="694"/>
      <c r="GB1" s="694"/>
      <c r="GC1" s="694"/>
      <c r="GD1" s="694"/>
      <c r="GE1" s="694"/>
      <c r="GF1" s="694"/>
      <c r="GG1" s="694"/>
      <c r="GH1" s="694"/>
      <c r="GI1" s="694"/>
      <c r="GJ1" s="694"/>
      <c r="GK1" s="694"/>
      <c r="GL1" s="694"/>
      <c r="GM1" s="694"/>
      <c r="GN1" s="694"/>
      <c r="GO1" s="694"/>
      <c r="GP1" s="694"/>
      <c r="GQ1" s="694"/>
      <c r="GR1" s="694"/>
      <c r="GS1" s="694"/>
      <c r="GT1" s="694"/>
      <c r="GU1" s="694"/>
      <c r="GV1" s="694"/>
      <c r="GW1" s="694"/>
      <c r="GX1" s="694"/>
      <c r="GY1" s="694"/>
      <c r="GZ1" s="694"/>
      <c r="HA1" s="694"/>
      <c r="HB1" s="694"/>
      <c r="HC1" s="694"/>
      <c r="HD1" s="694"/>
      <c r="HE1" s="694"/>
      <c r="HF1" s="694"/>
      <c r="HG1" s="694"/>
      <c r="HH1" s="694"/>
      <c r="HI1" s="694"/>
      <c r="HJ1" s="694"/>
      <c r="HK1" s="694"/>
      <c r="HL1" s="694"/>
      <c r="HM1" s="694"/>
      <c r="HN1" s="694"/>
      <c r="HO1" s="694"/>
      <c r="HP1" s="694"/>
      <c r="HQ1" s="694"/>
      <c r="HR1" s="694"/>
      <c r="HS1" s="694"/>
      <c r="HT1" s="694"/>
      <c r="HU1" s="694"/>
      <c r="HV1" s="694"/>
      <c r="HW1" s="694"/>
      <c r="HX1" s="694"/>
      <c r="HY1" s="694"/>
      <c r="HZ1" s="694"/>
      <c r="IA1" s="694"/>
      <c r="IB1" s="694"/>
      <c r="IC1" s="694"/>
      <c r="ID1" s="694"/>
      <c r="IE1" s="694"/>
      <c r="IF1" s="694"/>
      <c r="IG1" s="694"/>
      <c r="IH1" s="694"/>
      <c r="II1" s="694"/>
      <c r="IJ1" s="694"/>
      <c r="IK1" s="694"/>
      <c r="IL1" s="694"/>
      <c r="IM1" s="694"/>
      <c r="IN1" s="694"/>
      <c r="IO1" s="694"/>
      <c r="IP1" s="694"/>
      <c r="IQ1" s="694"/>
      <c r="IR1" s="694"/>
      <c r="IS1" s="694"/>
      <c r="IT1" s="694"/>
      <c r="IU1" s="694"/>
      <c r="IV1" s="694"/>
      <c r="IW1" s="694"/>
      <c r="IX1" s="694"/>
      <c r="IY1" s="694"/>
      <c r="IZ1" s="694"/>
      <c r="JA1" s="694"/>
      <c r="JB1" s="694"/>
      <c r="JC1" s="694"/>
      <c r="JD1" s="694"/>
      <c r="JE1" s="694"/>
      <c r="JF1" s="694"/>
      <c r="JG1" s="694"/>
      <c r="JH1" s="694"/>
      <c r="JI1" s="694"/>
      <c r="JJ1" s="694"/>
      <c r="JK1" s="694"/>
      <c r="JL1" s="694"/>
      <c r="JM1" s="694"/>
      <c r="JN1" s="694"/>
      <c r="JO1" s="694"/>
      <c r="JP1" s="694"/>
      <c r="JQ1" s="694"/>
      <c r="JR1" s="694"/>
      <c r="JS1" s="694"/>
      <c r="JT1" s="694"/>
      <c r="JU1" s="694"/>
      <c r="JV1" s="694"/>
      <c r="JW1" s="694"/>
      <c r="JX1" s="694"/>
      <c r="JY1" s="694"/>
      <c r="JZ1" s="694"/>
      <c r="KA1" s="694"/>
      <c r="KB1" s="694"/>
      <c r="KC1" s="694"/>
      <c r="NB1" s="694"/>
      <c r="NC1" s="694"/>
      <c r="ND1" s="694"/>
      <c r="NE1" s="694"/>
      <c r="NF1" s="694"/>
      <c r="NG1" s="694"/>
      <c r="NH1" s="694"/>
      <c r="NI1" s="694"/>
      <c r="NJ1" s="694"/>
      <c r="NK1" s="694"/>
      <c r="NL1" s="694"/>
      <c r="NM1" s="694"/>
      <c r="NN1" s="694"/>
      <c r="NO1" s="694"/>
      <c r="NP1" s="694"/>
      <c r="NQ1" s="694"/>
      <c r="NR1" s="694"/>
      <c r="NS1" s="694"/>
      <c r="NT1" s="694"/>
      <c r="NU1" s="694"/>
      <c r="NV1" s="694"/>
      <c r="NW1" s="694"/>
      <c r="NX1" s="694"/>
      <c r="NY1" s="694"/>
      <c r="NZ1" s="694"/>
      <c r="OA1" s="694"/>
      <c r="OB1" s="694"/>
      <c r="OC1" s="694"/>
      <c r="OD1" s="694"/>
      <c r="OE1" s="694"/>
      <c r="OF1" s="694"/>
      <c r="OG1" s="694"/>
      <c r="OH1" s="694"/>
      <c r="OI1" s="694"/>
      <c r="OJ1" s="694"/>
      <c r="OK1" s="694"/>
      <c r="OL1" s="694"/>
      <c r="OM1" s="694"/>
      <c r="ON1" s="694"/>
      <c r="OO1" s="694"/>
      <c r="QH1" s="694"/>
      <c r="QI1" s="694"/>
      <c r="QJ1" s="694"/>
      <c r="QK1" s="694"/>
      <c r="QL1" s="694"/>
      <c r="QM1" s="694"/>
      <c r="QN1" s="694"/>
      <c r="QO1" s="694"/>
      <c r="QP1" s="694"/>
      <c r="QQ1" s="694"/>
      <c r="QR1" s="694"/>
      <c r="QS1" s="694"/>
      <c r="QT1" s="694"/>
      <c r="QU1" s="694"/>
      <c r="QV1" s="694"/>
      <c r="QW1" s="694"/>
      <c r="QX1" s="694"/>
      <c r="QY1" s="694"/>
      <c r="QZ1" s="694"/>
      <c r="RA1" s="694"/>
      <c r="RB1" s="694"/>
      <c r="RC1" s="694"/>
      <c r="RD1" s="694"/>
      <c r="RE1" s="694"/>
      <c r="RF1" s="694"/>
      <c r="RG1" s="694"/>
      <c r="RH1" s="694"/>
      <c r="RI1" s="694"/>
      <c r="RJ1" s="694"/>
      <c r="RK1" s="694"/>
      <c r="RL1" s="694"/>
      <c r="RM1" s="694"/>
      <c r="RN1" s="694"/>
      <c r="RO1" s="694"/>
      <c r="RP1" s="694"/>
      <c r="RQ1" s="694"/>
      <c r="RR1" s="694"/>
      <c r="RS1" s="694"/>
      <c r="RT1" s="694"/>
      <c r="RU1" s="694"/>
      <c r="RV1" s="694"/>
      <c r="RW1" s="694"/>
      <c r="RX1" s="694"/>
      <c r="RY1" s="694"/>
      <c r="RZ1" s="694"/>
      <c r="SA1" s="694"/>
      <c r="SB1" s="694"/>
      <c r="SC1" s="694"/>
      <c r="SD1" s="694"/>
      <c r="SE1" s="694"/>
      <c r="SF1" s="694"/>
      <c r="SG1" s="694"/>
      <c r="SH1" s="694"/>
      <c r="SI1" s="694"/>
      <c r="SJ1" s="694"/>
      <c r="SK1" s="694"/>
      <c r="SL1" s="694"/>
      <c r="SM1" s="694"/>
      <c r="SN1" s="694"/>
      <c r="SO1" s="694"/>
      <c r="SP1" s="694"/>
      <c r="SQ1" s="694"/>
      <c r="SR1" s="694"/>
      <c r="SS1" s="694"/>
      <c r="ST1" s="694"/>
      <c r="SU1" s="694"/>
      <c r="SV1" s="694"/>
      <c r="SW1" s="694"/>
      <c r="SX1" s="694"/>
      <c r="SY1" s="694"/>
      <c r="SZ1" s="694"/>
      <c r="TA1" s="694"/>
      <c r="TB1" s="694"/>
      <c r="TC1" s="694"/>
      <c r="TD1" s="694"/>
      <c r="TE1" s="694"/>
      <c r="TF1" s="694"/>
      <c r="TG1" s="694"/>
      <c r="TH1" s="694"/>
      <c r="TI1" s="694"/>
      <c r="TJ1" s="694"/>
      <c r="TK1" s="694"/>
      <c r="TL1" s="694"/>
      <c r="TM1" s="694"/>
      <c r="TN1" s="694"/>
      <c r="TO1" s="694"/>
      <c r="TP1" s="694"/>
      <c r="TQ1" s="694"/>
      <c r="TR1" s="694"/>
      <c r="TS1" s="694"/>
      <c r="TT1" s="694"/>
      <c r="TU1" s="694"/>
      <c r="TV1" s="694"/>
      <c r="TW1" s="694"/>
      <c r="TX1" s="694"/>
      <c r="TY1" s="694"/>
      <c r="TZ1" s="694"/>
      <c r="UA1" s="694"/>
      <c r="UB1" s="694"/>
      <c r="UC1" s="694"/>
      <c r="UD1" s="694"/>
      <c r="UE1" s="694"/>
      <c r="UF1" s="694"/>
      <c r="UG1" s="694"/>
      <c r="UH1" s="694"/>
      <c r="UI1" s="694"/>
      <c r="UJ1" s="694"/>
      <c r="UK1" s="694"/>
      <c r="UL1" s="694"/>
      <c r="UM1" s="694"/>
      <c r="UN1" s="694"/>
      <c r="UO1" s="694"/>
      <c r="UP1" s="694"/>
      <c r="UQ1" s="694"/>
      <c r="UR1" s="694"/>
      <c r="US1" s="694"/>
      <c r="UT1" s="694"/>
      <c r="UU1" s="694"/>
      <c r="UV1" s="694"/>
      <c r="UW1" s="694"/>
      <c r="UX1" s="694"/>
      <c r="UY1" s="694"/>
      <c r="UZ1" s="694"/>
      <c r="VA1" s="694"/>
      <c r="VB1" s="694"/>
      <c r="VC1" s="694"/>
      <c r="VD1" s="694"/>
      <c r="VE1" s="694"/>
      <c r="VF1" s="694"/>
      <c r="VG1" s="694"/>
      <c r="VH1" s="694"/>
      <c r="VI1" s="694"/>
      <c r="VJ1" s="694"/>
      <c r="VK1" s="694"/>
      <c r="VL1" s="694"/>
      <c r="VM1" s="694"/>
      <c r="VN1" s="694"/>
      <c r="VO1" s="694"/>
      <c r="VP1" s="694"/>
      <c r="VQ1" s="694"/>
      <c r="VR1" s="694"/>
      <c r="VS1" s="694"/>
      <c r="VT1" s="694"/>
      <c r="VU1" s="694"/>
      <c r="VV1" s="694"/>
      <c r="VW1" s="694"/>
      <c r="VX1" s="694"/>
      <c r="VY1" s="694"/>
      <c r="VZ1" s="694"/>
      <c r="WA1" s="694"/>
      <c r="WB1" s="694"/>
      <c r="WC1" s="694"/>
      <c r="WD1" s="694"/>
      <c r="WE1" s="694"/>
      <c r="WF1" s="694"/>
      <c r="WG1" s="694"/>
      <c r="WH1" s="694"/>
      <c r="WI1" s="694"/>
      <c r="WJ1" s="694"/>
      <c r="WK1" s="694"/>
      <c r="WL1" s="694"/>
      <c r="WM1" s="694"/>
      <c r="WN1" s="694"/>
      <c r="WO1" s="694"/>
      <c r="WP1" s="694"/>
      <c r="WQ1" s="694"/>
      <c r="WR1" s="694"/>
      <c r="WS1" s="694"/>
      <c r="WT1" s="694"/>
      <c r="WU1" s="694"/>
      <c r="WV1" s="694"/>
      <c r="WW1" s="694"/>
      <c r="WX1" s="694"/>
      <c r="WY1" s="694"/>
      <c r="WZ1" s="694"/>
      <c r="XA1" s="694"/>
      <c r="XB1" s="694"/>
      <c r="XC1" s="694"/>
      <c r="XD1" s="694"/>
      <c r="XE1" s="694"/>
      <c r="XF1" s="694"/>
      <c r="XG1" s="694"/>
      <c r="XH1" s="694"/>
      <c r="XI1" s="694"/>
      <c r="XJ1" s="694"/>
      <c r="XK1" s="694"/>
      <c r="XL1" s="694"/>
      <c r="XM1" s="694"/>
      <c r="XN1" s="694"/>
      <c r="XO1" s="694"/>
      <c r="XP1" s="694"/>
      <c r="XQ1" s="694"/>
      <c r="XR1" s="694"/>
      <c r="XS1" s="694"/>
      <c r="XT1" s="694"/>
      <c r="XU1" s="694"/>
      <c r="XV1" s="694"/>
      <c r="XW1" s="694"/>
      <c r="XX1" s="694"/>
      <c r="XY1" s="694"/>
      <c r="XZ1" s="694"/>
      <c r="YA1" s="694"/>
      <c r="YB1" s="694"/>
      <c r="YC1" s="694"/>
      <c r="YD1" s="694"/>
      <c r="YE1" s="694"/>
      <c r="YF1" s="694"/>
      <c r="YG1" s="694"/>
      <c r="YH1" s="694"/>
      <c r="YI1" s="694"/>
      <c r="YJ1" s="694"/>
      <c r="YK1" s="694"/>
      <c r="YL1" s="694"/>
      <c r="YM1" s="694"/>
      <c r="YN1" s="694"/>
      <c r="YO1" s="694"/>
      <c r="YP1" s="694"/>
      <c r="YQ1" s="694"/>
      <c r="YR1" s="694"/>
      <c r="YS1" s="694"/>
      <c r="YT1" s="694"/>
      <c r="YU1" s="694"/>
      <c r="YV1" s="694"/>
      <c r="YW1" s="694"/>
      <c r="YX1" s="694"/>
      <c r="YY1" s="694"/>
      <c r="YZ1" s="694"/>
      <c r="ZA1" s="694"/>
      <c r="ZB1" s="694"/>
      <c r="ZC1" s="694"/>
      <c r="ZD1" s="694"/>
      <c r="ZE1" s="694"/>
      <c r="ZF1" s="694"/>
      <c r="ZG1" s="694"/>
      <c r="ZH1" s="694"/>
      <c r="ZI1" s="694"/>
      <c r="ZJ1" s="694"/>
      <c r="ZK1" s="694"/>
      <c r="ZL1" s="694"/>
      <c r="ZM1" s="694"/>
      <c r="ZN1" s="694"/>
      <c r="ZO1" s="694"/>
      <c r="ZP1" s="694"/>
      <c r="ZQ1" s="694"/>
      <c r="ZR1" s="694"/>
      <c r="ZS1" s="694"/>
      <c r="ZT1" s="694"/>
      <c r="ZU1" s="694"/>
      <c r="ZV1" s="694"/>
      <c r="ZW1" s="694"/>
      <c r="ZX1" s="694"/>
      <c r="ZY1" s="694"/>
      <c r="ZZ1" s="694"/>
      <c r="AAA1" s="694"/>
      <c r="AAB1" s="694"/>
      <c r="AAC1" s="694"/>
      <c r="AAD1" s="694"/>
      <c r="AAE1" s="694"/>
      <c r="AAF1" s="694"/>
      <c r="AAG1" s="694"/>
      <c r="AAH1" s="694"/>
      <c r="AAI1" s="694"/>
      <c r="AAJ1" s="694"/>
      <c r="AAK1" s="694"/>
      <c r="AAL1" s="694"/>
      <c r="AAM1" s="694"/>
      <c r="AAN1" s="694"/>
      <c r="AAO1" s="694"/>
      <c r="AAP1" s="694"/>
      <c r="AAQ1" s="694"/>
      <c r="AAR1" s="694"/>
      <c r="AAS1" s="694"/>
      <c r="AAT1" s="694"/>
      <c r="AAU1" s="694"/>
      <c r="AAV1" s="694"/>
      <c r="AAW1" s="694"/>
    </row>
    <row r="2" spans="1:725" ht="16.5" x14ac:dyDescent="0.25">
      <c r="A2" s="694"/>
      <c r="B2" s="694"/>
      <c r="C2" s="694"/>
      <c r="D2" s="694"/>
      <c r="E2" s="1494" t="s">
        <v>915</v>
      </c>
      <c r="F2" s="1494"/>
      <c r="G2" s="1494"/>
      <c r="H2" s="1494"/>
      <c r="I2" s="1494"/>
      <c r="J2" s="14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94"/>
      <c r="AT2" s="694"/>
      <c r="AU2" s="694"/>
      <c r="AV2" s="694"/>
      <c r="AW2" s="694"/>
      <c r="AX2" s="694"/>
      <c r="AY2" s="694"/>
      <c r="AZ2" s="694"/>
      <c r="BA2" s="694"/>
      <c r="BB2" s="694"/>
      <c r="BC2" s="694"/>
      <c r="BD2" s="694"/>
      <c r="BE2" s="694"/>
      <c r="BF2" s="694"/>
      <c r="BG2" s="694"/>
      <c r="BH2" s="694"/>
      <c r="BI2" s="694"/>
      <c r="BJ2" s="694"/>
      <c r="BK2" s="694"/>
      <c r="BL2" s="694"/>
      <c r="BM2" s="694"/>
      <c r="BN2" s="694"/>
      <c r="BO2" s="694"/>
      <c r="BP2" s="694"/>
      <c r="BQ2" s="694"/>
      <c r="BR2" s="694"/>
      <c r="BS2" s="694"/>
      <c r="BT2" s="694"/>
      <c r="BU2" s="694"/>
      <c r="BV2" s="694"/>
      <c r="BW2" s="694"/>
      <c r="BX2" s="694"/>
      <c r="BY2" s="694"/>
      <c r="BZ2" s="694"/>
      <c r="CA2" s="694"/>
      <c r="CB2" s="694"/>
      <c r="CC2" s="694"/>
      <c r="CD2" s="694"/>
      <c r="CE2" s="694"/>
      <c r="CF2" s="694"/>
      <c r="CG2" s="694"/>
      <c r="CH2" s="694"/>
      <c r="CI2" s="694"/>
      <c r="CJ2" s="694"/>
      <c r="CK2" s="694"/>
      <c r="CL2" s="694"/>
      <c r="CM2" s="694"/>
      <c r="CN2" s="694"/>
      <c r="CO2" s="694"/>
      <c r="CP2" s="694"/>
      <c r="CQ2" s="694"/>
      <c r="CR2" s="694"/>
      <c r="CS2" s="694"/>
      <c r="CT2" s="694"/>
      <c r="CU2" s="694"/>
      <c r="CV2" s="694"/>
      <c r="CW2" s="694"/>
      <c r="CX2" s="694"/>
      <c r="CY2" s="694"/>
      <c r="CZ2" s="694"/>
      <c r="DA2" s="694"/>
      <c r="DB2" s="694"/>
      <c r="DC2" s="694"/>
      <c r="DD2" s="694"/>
      <c r="DE2" s="694"/>
      <c r="DF2" s="694"/>
      <c r="DG2" s="694"/>
      <c r="DH2" s="694"/>
      <c r="DI2" s="694"/>
      <c r="DJ2" s="694"/>
      <c r="DK2" s="694"/>
      <c r="DL2" s="694"/>
      <c r="DM2" s="694"/>
      <c r="DN2" s="694"/>
      <c r="DO2" s="694"/>
      <c r="DP2" s="694"/>
      <c r="DQ2" s="694"/>
      <c r="DR2" s="694"/>
      <c r="DS2" s="694"/>
      <c r="DT2" s="694"/>
      <c r="DU2" s="694"/>
      <c r="DV2" s="694"/>
      <c r="DW2" s="694"/>
      <c r="DX2" s="694"/>
      <c r="DY2" s="694"/>
      <c r="DZ2" s="694"/>
      <c r="EA2" s="694"/>
      <c r="EB2" s="694"/>
      <c r="EC2" s="694"/>
      <c r="ED2" s="694"/>
      <c r="EE2" s="694"/>
      <c r="EF2" s="694"/>
      <c r="EG2" s="694"/>
      <c r="EH2" s="694"/>
      <c r="EI2" s="694"/>
      <c r="EJ2" s="694"/>
      <c r="EK2" s="694"/>
      <c r="EL2" s="694"/>
      <c r="EM2" s="694"/>
      <c r="EN2" s="694"/>
      <c r="EO2" s="694"/>
      <c r="EP2" s="694"/>
      <c r="EQ2" s="694"/>
      <c r="ER2" s="694"/>
      <c r="ES2" s="694"/>
      <c r="ET2" s="694"/>
      <c r="EU2" s="694"/>
      <c r="EV2" s="694"/>
      <c r="EW2" s="694"/>
      <c r="EX2" s="694"/>
      <c r="EY2" s="694"/>
      <c r="EZ2" s="694"/>
      <c r="FA2" s="694"/>
      <c r="FB2" s="694"/>
      <c r="FC2" s="694"/>
      <c r="FD2" s="694"/>
      <c r="FE2" s="694"/>
      <c r="FF2" s="694"/>
      <c r="FG2" s="694"/>
      <c r="FH2" s="694"/>
      <c r="FI2" s="694"/>
      <c r="FJ2" s="694"/>
      <c r="FK2" s="694"/>
      <c r="FL2" s="694"/>
      <c r="FM2" s="694"/>
      <c r="FN2" s="694"/>
      <c r="FO2" s="694"/>
      <c r="FP2" s="694"/>
      <c r="FQ2" s="694"/>
      <c r="FR2" s="694"/>
      <c r="FS2" s="694"/>
      <c r="FT2" s="694"/>
      <c r="FU2" s="694"/>
      <c r="FV2" s="694"/>
      <c r="FW2" s="694"/>
      <c r="FX2" s="694"/>
      <c r="FY2" s="694"/>
      <c r="FZ2" s="694"/>
      <c r="GA2" s="694"/>
      <c r="GB2" s="694"/>
      <c r="GC2" s="694"/>
      <c r="GD2" s="694"/>
      <c r="GE2" s="694"/>
      <c r="GF2" s="694"/>
      <c r="GG2" s="694"/>
      <c r="GH2" s="694"/>
      <c r="GI2" s="694"/>
      <c r="GJ2" s="694"/>
      <c r="GK2" s="694"/>
      <c r="GL2" s="694"/>
      <c r="GM2" s="694"/>
      <c r="GN2" s="694"/>
      <c r="GO2" s="694"/>
      <c r="GP2" s="694"/>
      <c r="GQ2" s="694"/>
      <c r="GR2" s="694"/>
      <c r="GS2" s="694"/>
      <c r="GT2" s="694"/>
      <c r="GU2" s="694"/>
      <c r="GV2" s="694"/>
      <c r="GW2" s="694"/>
      <c r="GX2" s="694"/>
      <c r="GY2" s="694"/>
      <c r="GZ2" s="694"/>
      <c r="HA2" s="694"/>
      <c r="HB2" s="694"/>
      <c r="HC2" s="694"/>
      <c r="HD2" s="694"/>
      <c r="HE2" s="694"/>
      <c r="HF2" s="694"/>
      <c r="HG2" s="694"/>
      <c r="HH2" s="694"/>
      <c r="HI2" s="694"/>
      <c r="HJ2" s="694"/>
      <c r="HK2" s="694"/>
      <c r="HL2" s="694"/>
      <c r="HM2" s="694"/>
      <c r="HN2" s="694"/>
      <c r="HO2" s="694"/>
      <c r="HP2" s="694"/>
      <c r="HQ2" s="694"/>
      <c r="HR2" s="694"/>
      <c r="HS2" s="694"/>
      <c r="HT2" s="694"/>
      <c r="HU2" s="694"/>
      <c r="HV2" s="694"/>
      <c r="HW2" s="694"/>
      <c r="HX2" s="694"/>
      <c r="HY2" s="694"/>
      <c r="HZ2" s="694"/>
      <c r="IA2" s="694"/>
      <c r="IB2" s="694"/>
      <c r="IC2" s="694"/>
      <c r="ID2" s="694"/>
      <c r="IE2" s="694"/>
      <c r="IF2" s="694"/>
      <c r="IG2" s="694"/>
      <c r="IH2" s="694"/>
      <c r="II2" s="694"/>
      <c r="IJ2" s="694"/>
      <c r="IK2" s="694"/>
      <c r="IL2" s="694"/>
      <c r="IM2" s="694"/>
      <c r="IN2" s="694"/>
      <c r="IO2" s="694"/>
      <c r="IP2" s="694"/>
      <c r="IQ2" s="694"/>
      <c r="IR2" s="694"/>
      <c r="IS2" s="694"/>
      <c r="IT2" s="694"/>
      <c r="IU2" s="694"/>
      <c r="IV2" s="694"/>
      <c r="IW2" s="694"/>
      <c r="IX2" s="694"/>
      <c r="IY2" s="694"/>
      <c r="IZ2" s="694"/>
      <c r="JA2" s="694"/>
      <c r="JB2" s="694"/>
      <c r="JC2" s="694"/>
      <c r="JD2" s="694"/>
      <c r="JE2" s="694"/>
      <c r="JF2" s="694"/>
      <c r="JG2" s="694"/>
      <c r="JH2" s="694"/>
      <c r="JI2" s="694"/>
      <c r="JJ2" s="694"/>
      <c r="JK2" s="694"/>
      <c r="JL2" s="694"/>
      <c r="JM2" s="694"/>
      <c r="JN2" s="694"/>
      <c r="JO2" s="694"/>
      <c r="JP2" s="694"/>
      <c r="JQ2" s="694"/>
      <c r="JR2" s="694"/>
      <c r="JS2" s="694"/>
      <c r="JT2" s="694"/>
      <c r="JU2" s="694"/>
      <c r="JV2" s="694"/>
      <c r="JW2" s="694"/>
      <c r="JX2" s="694"/>
      <c r="JY2" s="694"/>
      <c r="JZ2" s="694"/>
      <c r="KA2" s="694"/>
      <c r="KB2" s="694"/>
      <c r="KC2" s="694"/>
      <c r="NB2" s="694"/>
      <c r="NC2" s="694"/>
      <c r="ND2" s="694"/>
      <c r="NE2" s="694"/>
      <c r="NF2" s="694"/>
      <c r="NG2" s="694"/>
      <c r="NH2" s="694"/>
      <c r="NI2" s="694"/>
      <c r="NJ2" s="694"/>
      <c r="NK2" s="694"/>
      <c r="NL2" s="694"/>
      <c r="NM2" s="694"/>
      <c r="NN2" s="694"/>
      <c r="NO2" s="694"/>
      <c r="NP2" s="694"/>
      <c r="NQ2" s="694"/>
      <c r="NR2" s="694"/>
      <c r="NS2" s="694"/>
      <c r="NT2" s="694"/>
      <c r="NU2" s="694"/>
      <c r="NV2" s="694"/>
      <c r="NW2" s="694"/>
      <c r="NX2" s="694"/>
      <c r="NY2" s="694"/>
      <c r="NZ2" s="694"/>
      <c r="OA2" s="694"/>
      <c r="OB2" s="694"/>
      <c r="OC2" s="694"/>
      <c r="OD2" s="694"/>
      <c r="OE2" s="694"/>
      <c r="OF2" s="694"/>
      <c r="OG2" s="694"/>
      <c r="OH2" s="694"/>
      <c r="OI2" s="694"/>
      <c r="OJ2" s="694"/>
      <c r="OK2" s="694"/>
      <c r="OL2" s="694"/>
      <c r="OM2" s="694"/>
      <c r="ON2" s="694"/>
      <c r="OO2" s="694"/>
      <c r="OW2" s="694"/>
      <c r="OX2" s="694"/>
      <c r="QH2" s="694"/>
      <c r="QI2" s="694"/>
      <c r="QJ2" s="694"/>
      <c r="QK2" s="694"/>
      <c r="QL2" s="694"/>
      <c r="QM2" s="694"/>
      <c r="QN2" s="694"/>
      <c r="QO2" s="694"/>
      <c r="QP2" s="694"/>
      <c r="QQ2" s="694"/>
      <c r="QR2" s="694"/>
      <c r="QS2" s="694"/>
      <c r="QT2" s="694"/>
      <c r="QU2" s="694"/>
      <c r="QV2" s="694"/>
      <c r="QW2" s="694"/>
      <c r="QX2" s="694"/>
      <c r="QY2" s="694"/>
      <c r="QZ2" s="694"/>
      <c r="RA2" s="694"/>
      <c r="RB2" s="694"/>
      <c r="RC2" s="694"/>
      <c r="RD2" s="694"/>
      <c r="RE2" s="694"/>
      <c r="RF2" s="694"/>
      <c r="RG2" s="694"/>
      <c r="RH2" s="694"/>
      <c r="RI2" s="694"/>
      <c r="RJ2" s="694"/>
      <c r="RK2" s="694"/>
      <c r="RL2" s="694"/>
      <c r="RM2" s="694"/>
      <c r="RN2" s="694"/>
      <c r="RO2" s="694"/>
      <c r="RP2" s="694"/>
      <c r="RQ2" s="694"/>
      <c r="RR2" s="694"/>
      <c r="RS2" s="694"/>
      <c r="RT2" s="694"/>
      <c r="RU2" s="694"/>
      <c r="RV2" s="694"/>
      <c r="RW2" s="694"/>
      <c r="RX2" s="694"/>
      <c r="RY2" s="694"/>
      <c r="RZ2" s="694"/>
      <c r="SA2" s="694"/>
      <c r="SB2" s="694"/>
      <c r="SC2" s="694"/>
      <c r="SD2" s="694"/>
      <c r="SE2" s="694"/>
      <c r="SF2" s="694"/>
      <c r="SG2" s="694"/>
      <c r="SH2" s="694"/>
      <c r="SI2" s="694"/>
      <c r="SJ2" s="694"/>
      <c r="SK2" s="694"/>
      <c r="SL2" s="694"/>
      <c r="SM2" s="694"/>
      <c r="SN2" s="694"/>
      <c r="SO2" s="694"/>
      <c r="SP2" s="694"/>
      <c r="SQ2" s="694"/>
      <c r="SR2" s="694"/>
      <c r="SS2" s="694"/>
      <c r="ST2" s="694"/>
      <c r="SU2" s="694"/>
      <c r="SV2" s="694"/>
      <c r="SW2" s="694"/>
      <c r="SX2" s="694"/>
      <c r="SY2" s="694"/>
      <c r="SZ2" s="694"/>
      <c r="TA2" s="694"/>
      <c r="TB2" s="694"/>
      <c r="TC2" s="694"/>
      <c r="TD2" s="694"/>
      <c r="TE2" s="694"/>
      <c r="TF2" s="694"/>
      <c r="TG2" s="694"/>
      <c r="TH2" s="694"/>
      <c r="TI2" s="694"/>
      <c r="TJ2" s="694"/>
      <c r="TK2" s="694"/>
      <c r="TL2" s="694"/>
      <c r="TM2" s="694"/>
      <c r="TN2" s="694"/>
      <c r="TO2" s="694"/>
      <c r="TP2" s="694"/>
      <c r="TQ2" s="694"/>
      <c r="TR2" s="694"/>
      <c r="TS2" s="694"/>
      <c r="TT2" s="694"/>
      <c r="TU2" s="694"/>
      <c r="TV2" s="694"/>
      <c r="TW2" s="694"/>
      <c r="TX2" s="694"/>
      <c r="TY2" s="694"/>
      <c r="TZ2" s="694"/>
      <c r="UA2" s="694"/>
      <c r="UB2" s="694"/>
      <c r="UC2" s="694"/>
      <c r="UD2" s="694"/>
      <c r="UE2" s="694"/>
      <c r="UF2" s="694"/>
      <c r="UG2" s="694"/>
      <c r="UH2" s="694"/>
      <c r="UI2" s="694"/>
      <c r="UJ2" s="694"/>
      <c r="UK2" s="694"/>
      <c r="UL2" s="694"/>
      <c r="UM2" s="694"/>
      <c r="UN2" s="694"/>
      <c r="UO2" s="694"/>
      <c r="UP2" s="694"/>
      <c r="UQ2" s="694"/>
      <c r="UR2" s="694"/>
      <c r="US2" s="694"/>
      <c r="UT2" s="694"/>
      <c r="UU2" s="694"/>
      <c r="UV2" s="694"/>
      <c r="UW2" s="694"/>
      <c r="UX2" s="694"/>
      <c r="UY2" s="694"/>
      <c r="UZ2" s="694"/>
      <c r="VA2" s="694"/>
      <c r="VB2" s="694"/>
      <c r="VC2" s="694"/>
      <c r="VD2" s="694"/>
      <c r="VE2" s="694"/>
      <c r="VF2" s="694"/>
      <c r="VG2" s="694"/>
      <c r="VH2" s="694"/>
      <c r="VI2" s="694"/>
      <c r="VJ2" s="694"/>
      <c r="VK2" s="694"/>
      <c r="VL2" s="694"/>
      <c r="VM2" s="694"/>
      <c r="VN2" s="694"/>
      <c r="VO2" s="694"/>
      <c r="VP2" s="694"/>
      <c r="VQ2" s="694"/>
      <c r="VR2" s="694"/>
      <c r="VS2" s="694"/>
      <c r="VT2" s="694"/>
      <c r="VU2" s="694"/>
      <c r="VV2" s="694"/>
      <c r="VW2" s="694"/>
      <c r="VX2" s="694"/>
      <c r="VY2" s="694"/>
      <c r="VZ2" s="694"/>
      <c r="WA2" s="694"/>
      <c r="WB2" s="694"/>
      <c r="WC2" s="694"/>
      <c r="WD2" s="694"/>
      <c r="WE2" s="694"/>
      <c r="WF2" s="694"/>
      <c r="WG2" s="694"/>
      <c r="WH2" s="694"/>
      <c r="WI2" s="694"/>
      <c r="WJ2" s="694"/>
      <c r="WK2" s="694"/>
      <c r="WL2" s="694"/>
      <c r="WM2" s="694"/>
      <c r="WN2" s="694"/>
      <c r="WO2" s="694"/>
      <c r="WP2" s="694"/>
      <c r="WQ2" s="694"/>
      <c r="WR2" s="694"/>
      <c r="WS2" s="694"/>
      <c r="WT2" s="694"/>
      <c r="WU2" s="694"/>
      <c r="WV2" s="694"/>
      <c r="WW2" s="694"/>
      <c r="WX2" s="694"/>
      <c r="WY2" s="694"/>
      <c r="WZ2" s="694"/>
      <c r="XA2" s="694"/>
      <c r="XB2" s="694"/>
      <c r="XC2" s="694"/>
      <c r="XD2" s="694"/>
      <c r="XE2" s="694"/>
      <c r="XF2" s="694"/>
      <c r="XG2" s="694"/>
      <c r="XH2" s="694"/>
      <c r="XI2" s="694"/>
      <c r="XJ2" s="694"/>
      <c r="XK2" s="694"/>
      <c r="XL2" s="694"/>
      <c r="XM2" s="694"/>
      <c r="XN2" s="694"/>
      <c r="XO2" s="694"/>
      <c r="XP2" s="694"/>
      <c r="XQ2" s="694"/>
      <c r="XR2" s="694"/>
      <c r="XS2" s="694"/>
      <c r="XT2" s="694"/>
      <c r="XU2" s="694"/>
      <c r="XV2" s="694"/>
      <c r="XW2" s="694"/>
      <c r="XX2" s="694"/>
      <c r="XY2" s="694"/>
      <c r="XZ2" s="694"/>
      <c r="YA2" s="694"/>
      <c r="YB2" s="694"/>
      <c r="YC2" s="694"/>
      <c r="YD2" s="694"/>
      <c r="YE2" s="694"/>
      <c r="YF2" s="694"/>
      <c r="YG2" s="694"/>
      <c r="YH2" s="694"/>
      <c r="YI2" s="694"/>
      <c r="YJ2" s="694"/>
      <c r="YK2" s="694"/>
      <c r="YL2" s="694"/>
      <c r="YM2" s="694"/>
      <c r="YN2" s="694"/>
      <c r="YO2" s="694"/>
      <c r="YP2" s="694"/>
      <c r="YQ2" s="694"/>
      <c r="YR2" s="694"/>
      <c r="YS2" s="694"/>
      <c r="YT2" s="694"/>
      <c r="YU2" s="694"/>
      <c r="YV2" s="694"/>
      <c r="YW2" s="694"/>
      <c r="YX2" s="694"/>
      <c r="YY2" s="694"/>
      <c r="YZ2" s="694"/>
      <c r="ZA2" s="694"/>
      <c r="ZB2" s="694"/>
      <c r="ZC2" s="694"/>
      <c r="ZD2" s="694"/>
      <c r="ZE2" s="694"/>
      <c r="ZF2" s="694"/>
      <c r="ZG2" s="694"/>
      <c r="ZH2" s="694"/>
      <c r="ZI2" s="694"/>
      <c r="ZJ2" s="694"/>
      <c r="ZK2" s="694"/>
      <c r="ZL2" s="694"/>
      <c r="ZM2" s="694"/>
      <c r="ZN2" s="694"/>
      <c r="ZO2" s="694"/>
      <c r="ZP2" s="694"/>
      <c r="ZQ2" s="694"/>
      <c r="ZR2" s="694"/>
      <c r="ZS2" s="694"/>
      <c r="ZT2" s="694"/>
      <c r="ZU2" s="694"/>
      <c r="ZV2" s="694"/>
      <c r="ZW2" s="694"/>
      <c r="ZX2" s="694"/>
      <c r="ZY2" s="694"/>
      <c r="ZZ2" s="694"/>
      <c r="AAA2" s="694"/>
      <c r="AAB2" s="694"/>
      <c r="AAC2" s="694"/>
      <c r="AAD2" s="694"/>
      <c r="AAE2" s="694"/>
      <c r="AAF2" s="694"/>
      <c r="AAG2" s="694"/>
      <c r="AAH2" s="694"/>
      <c r="AAI2" s="694"/>
      <c r="AAJ2" s="694"/>
      <c r="AAK2" s="694"/>
      <c r="AAL2" s="694"/>
      <c r="AAM2" s="694"/>
      <c r="AAN2" s="694"/>
      <c r="AAO2" s="694"/>
      <c r="AAP2" s="694"/>
      <c r="AAQ2" s="694"/>
      <c r="AAR2" s="694"/>
      <c r="AAS2" s="694"/>
      <c r="AAT2" s="694"/>
      <c r="AAU2" s="694"/>
      <c r="AAV2" s="694"/>
      <c r="AAW2" s="694"/>
    </row>
    <row r="3" spans="1:725" ht="16.5" x14ac:dyDescent="0.25">
      <c r="A3" s="694"/>
      <c r="B3" s="694"/>
      <c r="C3" s="694"/>
      <c r="D3" s="694"/>
      <c r="E3" s="1494" t="str">
        <f>'[1]Факт  средств  из  ОБ_год '!$D$4</f>
        <v>ПО  СОСТОЯНИЮ  НА  1  ИЮЛЯ  2024  ГОДА</v>
      </c>
      <c r="F3" s="1494"/>
      <c r="G3" s="1494"/>
      <c r="H3" s="1494"/>
      <c r="I3" s="1494"/>
      <c r="J3" s="14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4"/>
      <c r="AQ3" s="694"/>
      <c r="AR3" s="694"/>
      <c r="AS3" s="694"/>
      <c r="AT3" s="694"/>
      <c r="AU3" s="694"/>
      <c r="AV3" s="694"/>
      <c r="AW3" s="694"/>
      <c r="AX3" s="694"/>
      <c r="AY3" s="694"/>
      <c r="AZ3" s="694"/>
      <c r="BA3" s="694"/>
      <c r="BB3" s="694"/>
      <c r="BC3" s="694"/>
      <c r="BD3" s="694"/>
      <c r="BE3" s="694"/>
      <c r="BF3" s="694"/>
      <c r="BG3" s="694"/>
      <c r="BH3" s="694"/>
      <c r="BI3" s="694"/>
      <c r="BJ3" s="694"/>
      <c r="BK3" s="694"/>
      <c r="BL3" s="694"/>
      <c r="BM3" s="694"/>
      <c r="BN3" s="694"/>
      <c r="BO3" s="694"/>
      <c r="BP3" s="694"/>
      <c r="BQ3" s="694"/>
      <c r="BR3" s="694"/>
      <c r="BS3" s="694"/>
      <c r="BT3" s="694"/>
      <c r="BU3" s="694"/>
      <c r="BV3" s="694"/>
      <c r="BW3" s="694"/>
      <c r="BX3" s="694"/>
      <c r="BY3" s="694"/>
      <c r="BZ3" s="694"/>
      <c r="CA3" s="694"/>
      <c r="CB3" s="694"/>
      <c r="CC3" s="694"/>
      <c r="CD3" s="694"/>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4"/>
      <c r="ED3" s="694"/>
      <c r="EE3" s="694"/>
      <c r="EF3" s="694"/>
      <c r="EG3" s="694"/>
      <c r="EH3" s="694"/>
      <c r="EI3" s="694"/>
      <c r="EJ3" s="694"/>
      <c r="EK3" s="694"/>
      <c r="EL3" s="694"/>
      <c r="EM3" s="694"/>
      <c r="EN3" s="694"/>
      <c r="EO3" s="694"/>
      <c r="EP3" s="694"/>
      <c r="EQ3" s="694"/>
      <c r="ER3" s="694"/>
      <c r="ES3" s="694"/>
      <c r="ET3" s="694"/>
      <c r="EU3" s="694"/>
      <c r="EV3" s="694"/>
      <c r="EW3" s="694"/>
      <c r="EX3" s="694"/>
      <c r="EY3" s="694"/>
      <c r="EZ3" s="694"/>
      <c r="FA3" s="694"/>
      <c r="FB3" s="694"/>
      <c r="FC3" s="694"/>
      <c r="FD3" s="694"/>
      <c r="FE3" s="694"/>
      <c r="FF3" s="694"/>
      <c r="FG3" s="694"/>
      <c r="FH3" s="694"/>
      <c r="FI3" s="694"/>
      <c r="FJ3" s="694"/>
      <c r="FK3" s="694"/>
      <c r="FL3" s="694"/>
      <c r="FM3" s="694"/>
      <c r="FN3" s="694"/>
      <c r="FO3" s="694"/>
      <c r="FP3" s="694"/>
      <c r="FQ3" s="694"/>
      <c r="FR3" s="694"/>
      <c r="FS3" s="694"/>
      <c r="FT3" s="694"/>
      <c r="FU3" s="694"/>
      <c r="FV3" s="694"/>
      <c r="FW3" s="694"/>
      <c r="FX3" s="694"/>
      <c r="FY3" s="694"/>
      <c r="FZ3" s="694"/>
      <c r="GA3" s="694"/>
      <c r="GB3" s="694"/>
      <c r="GC3" s="694"/>
      <c r="GD3" s="694"/>
      <c r="GE3" s="694"/>
      <c r="GF3" s="694"/>
      <c r="GG3" s="694"/>
      <c r="GH3" s="694"/>
      <c r="GI3" s="694"/>
      <c r="GJ3" s="694"/>
      <c r="GK3" s="694"/>
      <c r="GL3" s="694"/>
      <c r="GM3" s="694"/>
      <c r="GN3" s="694"/>
      <c r="GO3" s="694"/>
      <c r="GP3" s="694"/>
      <c r="GQ3" s="694"/>
      <c r="GR3" s="694"/>
      <c r="GS3" s="694"/>
      <c r="GT3" s="694"/>
      <c r="GU3" s="694"/>
      <c r="GV3" s="694"/>
      <c r="GW3" s="694"/>
      <c r="GX3" s="694"/>
      <c r="GY3" s="694"/>
      <c r="GZ3" s="694"/>
      <c r="HA3" s="694"/>
      <c r="HB3" s="694"/>
      <c r="HC3" s="694"/>
      <c r="HD3" s="694"/>
      <c r="HE3" s="694"/>
      <c r="HF3" s="694"/>
      <c r="HG3" s="694"/>
      <c r="HH3" s="694"/>
      <c r="HI3" s="694"/>
      <c r="HJ3" s="694"/>
      <c r="HK3" s="694"/>
      <c r="HL3" s="694"/>
      <c r="HM3" s="694"/>
      <c r="HN3" s="694"/>
      <c r="HO3" s="694"/>
      <c r="HP3" s="694"/>
      <c r="HQ3" s="694"/>
      <c r="HR3" s="694"/>
      <c r="HS3" s="694"/>
      <c r="HT3" s="694"/>
      <c r="HU3" s="694"/>
      <c r="HV3" s="694"/>
      <c r="HW3" s="694"/>
      <c r="HX3" s="694"/>
      <c r="HY3" s="694"/>
      <c r="HZ3" s="694"/>
      <c r="IA3" s="694"/>
      <c r="IB3" s="694"/>
      <c r="IC3" s="694"/>
      <c r="ID3" s="694"/>
      <c r="IE3" s="694"/>
      <c r="IF3" s="694"/>
      <c r="IG3" s="694"/>
      <c r="IH3" s="694"/>
      <c r="II3" s="694"/>
      <c r="IJ3" s="694"/>
      <c r="IK3" s="694"/>
      <c r="IL3" s="694"/>
      <c r="IM3" s="694"/>
      <c r="IN3" s="694"/>
      <c r="IO3" s="694"/>
      <c r="IP3" s="694"/>
      <c r="IQ3" s="694"/>
      <c r="IR3" s="694"/>
      <c r="IS3" s="694"/>
      <c r="IT3" s="694"/>
      <c r="IU3" s="694"/>
      <c r="IV3" s="694"/>
      <c r="IW3" s="694"/>
      <c r="IX3" s="694"/>
      <c r="IY3" s="694"/>
      <c r="IZ3" s="694"/>
      <c r="JA3" s="694"/>
      <c r="JB3" s="694"/>
      <c r="JC3" s="694"/>
      <c r="JD3" s="694"/>
      <c r="JE3" s="694"/>
      <c r="JF3" s="694"/>
      <c r="JG3" s="694"/>
      <c r="JH3" s="694"/>
      <c r="JI3" s="694"/>
      <c r="JJ3" s="694"/>
      <c r="JK3" s="694"/>
      <c r="JL3" s="694"/>
      <c r="JM3" s="694"/>
      <c r="JN3" s="694"/>
      <c r="JO3" s="694"/>
      <c r="JP3" s="694"/>
      <c r="JQ3" s="694"/>
      <c r="JR3" s="694"/>
      <c r="JS3" s="694"/>
      <c r="JT3" s="694"/>
      <c r="JU3" s="694"/>
      <c r="JV3" s="694"/>
      <c r="JW3" s="694"/>
      <c r="JX3" s="694"/>
      <c r="JY3" s="694"/>
      <c r="JZ3" s="694"/>
      <c r="KA3" s="694"/>
      <c r="KB3" s="694"/>
      <c r="KC3" s="694"/>
      <c r="NB3" s="694"/>
      <c r="NC3" s="694"/>
      <c r="ND3" s="694"/>
      <c r="NE3" s="694"/>
      <c r="NF3" s="694"/>
      <c r="NG3" s="694"/>
      <c r="NH3" s="694"/>
      <c r="NI3" s="694"/>
      <c r="NJ3" s="694"/>
      <c r="NK3" s="694"/>
      <c r="NL3" s="694"/>
      <c r="NM3" s="694"/>
      <c r="NN3" s="694"/>
      <c r="NO3" s="694"/>
      <c r="NP3" s="694"/>
      <c r="NQ3" s="694"/>
      <c r="NR3" s="694"/>
      <c r="NS3" s="694"/>
      <c r="NT3" s="694"/>
      <c r="NU3" s="694"/>
      <c r="NV3" s="694"/>
      <c r="NW3" s="694"/>
      <c r="NX3" s="694"/>
      <c r="NY3" s="694"/>
      <c r="NZ3" s="694"/>
      <c r="OA3" s="694"/>
      <c r="OB3" s="694"/>
      <c r="OC3" s="694"/>
      <c r="OD3" s="694"/>
      <c r="OE3" s="694"/>
      <c r="OF3" s="694"/>
      <c r="OG3" s="694"/>
      <c r="OH3" s="694"/>
      <c r="OI3" s="694"/>
      <c r="OJ3" s="694"/>
      <c r="OK3" s="694"/>
      <c r="OL3" s="694"/>
      <c r="OM3" s="694"/>
      <c r="ON3" s="694"/>
      <c r="OO3" s="694"/>
      <c r="QH3" s="694"/>
      <c r="QI3" s="694"/>
      <c r="QJ3" s="694"/>
      <c r="QK3" s="694"/>
      <c r="QL3" s="694"/>
      <c r="QM3" s="694"/>
      <c r="QN3" s="694"/>
      <c r="QO3" s="694"/>
      <c r="QP3" s="694"/>
      <c r="QQ3" s="694"/>
      <c r="QR3" s="694"/>
      <c r="QS3" s="694"/>
      <c r="QT3" s="694"/>
      <c r="QU3" s="694"/>
      <c r="QV3" s="694"/>
      <c r="QW3" s="694"/>
      <c r="QX3" s="694"/>
      <c r="QY3" s="694"/>
      <c r="QZ3" s="694"/>
      <c r="RA3" s="694"/>
      <c r="RB3" s="694"/>
      <c r="RC3" s="694"/>
      <c r="RD3" s="694"/>
      <c r="RE3" s="694"/>
      <c r="RF3" s="694"/>
      <c r="RG3" s="694"/>
      <c r="RH3" s="694"/>
      <c r="RI3" s="694"/>
      <c r="RJ3" s="694"/>
      <c r="RK3" s="694"/>
      <c r="RL3" s="694"/>
      <c r="RM3" s="694"/>
      <c r="RN3" s="694"/>
      <c r="RO3" s="694"/>
      <c r="RP3" s="694"/>
      <c r="RQ3" s="694"/>
      <c r="RR3" s="694"/>
      <c r="RS3" s="694"/>
      <c r="RT3" s="694"/>
      <c r="RU3" s="694"/>
      <c r="RV3" s="694"/>
      <c r="RW3" s="694"/>
      <c r="RX3" s="694"/>
      <c r="RY3" s="694"/>
      <c r="RZ3" s="694"/>
      <c r="SA3" s="694"/>
      <c r="SB3" s="694"/>
      <c r="SC3" s="694"/>
      <c r="SD3" s="694"/>
      <c r="SE3" s="694"/>
      <c r="SF3" s="694"/>
      <c r="SG3" s="694"/>
      <c r="SH3" s="694"/>
      <c r="SI3" s="694"/>
      <c r="SJ3" s="694"/>
      <c r="SK3" s="694"/>
      <c r="SL3" s="694"/>
      <c r="SM3" s="694"/>
      <c r="SN3" s="694"/>
      <c r="SO3" s="694"/>
      <c r="SP3" s="694"/>
      <c r="SQ3" s="694"/>
      <c r="SR3" s="694"/>
      <c r="SS3" s="694"/>
      <c r="ST3" s="694"/>
      <c r="SU3" s="694"/>
      <c r="SV3" s="694"/>
      <c r="SW3" s="694"/>
      <c r="SX3" s="694"/>
      <c r="SY3" s="694"/>
      <c r="SZ3" s="694"/>
      <c r="TA3" s="694"/>
      <c r="TB3" s="694"/>
      <c r="TC3" s="694"/>
      <c r="TD3" s="694"/>
      <c r="TE3" s="694"/>
      <c r="TF3" s="694"/>
      <c r="TG3" s="694"/>
      <c r="TH3" s="694"/>
      <c r="TI3" s="694"/>
      <c r="TJ3" s="694"/>
      <c r="TK3" s="694"/>
      <c r="TL3" s="694"/>
      <c r="TM3" s="694"/>
      <c r="TN3" s="694"/>
      <c r="TO3" s="694"/>
      <c r="TP3" s="694"/>
      <c r="TQ3" s="694"/>
      <c r="TR3" s="694"/>
      <c r="TS3" s="694"/>
      <c r="TT3" s="694"/>
      <c r="TU3" s="694"/>
      <c r="TV3" s="694"/>
      <c r="TW3" s="694"/>
      <c r="TX3" s="694"/>
      <c r="TY3" s="694"/>
      <c r="TZ3" s="694"/>
      <c r="UA3" s="694"/>
      <c r="UB3" s="694"/>
      <c r="UC3" s="694"/>
      <c r="UD3" s="694"/>
      <c r="UE3" s="694"/>
      <c r="UF3" s="694"/>
      <c r="UG3" s="694"/>
      <c r="UH3" s="694"/>
      <c r="UI3" s="694"/>
      <c r="UJ3" s="694"/>
      <c r="UK3" s="694"/>
      <c r="UL3" s="694"/>
      <c r="UM3" s="694"/>
      <c r="UN3" s="694"/>
      <c r="UO3" s="694"/>
      <c r="UP3" s="694"/>
      <c r="UQ3" s="694"/>
      <c r="UR3" s="694"/>
      <c r="US3" s="694"/>
      <c r="UT3" s="694"/>
      <c r="UU3" s="694"/>
      <c r="UV3" s="694"/>
      <c r="UW3" s="694"/>
      <c r="UX3" s="694"/>
      <c r="UY3" s="694"/>
      <c r="UZ3" s="694"/>
      <c r="VA3" s="694"/>
      <c r="VB3" s="694"/>
      <c r="VC3" s="694"/>
      <c r="VD3" s="694"/>
      <c r="VE3" s="694"/>
      <c r="VF3" s="694"/>
      <c r="VG3" s="694"/>
      <c r="VH3" s="694"/>
      <c r="VI3" s="694"/>
      <c r="VJ3" s="694"/>
      <c r="VK3" s="694"/>
      <c r="VL3" s="694"/>
      <c r="VM3" s="694"/>
      <c r="VN3" s="694"/>
      <c r="VO3" s="694"/>
      <c r="VP3" s="694"/>
      <c r="VQ3" s="694"/>
      <c r="VR3" s="694"/>
      <c r="VS3" s="694"/>
      <c r="VT3" s="694"/>
      <c r="VU3" s="694"/>
      <c r="VV3" s="694"/>
      <c r="VW3" s="694"/>
      <c r="VX3" s="694"/>
      <c r="VY3" s="694"/>
      <c r="VZ3" s="694"/>
      <c r="WA3" s="694"/>
      <c r="WB3" s="694"/>
      <c r="WC3" s="694"/>
      <c r="WD3" s="694"/>
      <c r="WE3" s="694"/>
      <c r="WF3" s="694"/>
      <c r="WG3" s="694"/>
      <c r="WH3" s="694"/>
      <c r="WI3" s="694"/>
      <c r="WJ3" s="694"/>
      <c r="WK3" s="694"/>
      <c r="WL3" s="694"/>
      <c r="WM3" s="694"/>
      <c r="WN3" s="694"/>
      <c r="WO3" s="694"/>
      <c r="WP3" s="694"/>
      <c r="WQ3" s="694"/>
      <c r="WR3" s="694"/>
      <c r="WS3" s="694"/>
      <c r="WT3" s="694"/>
      <c r="WU3" s="694"/>
      <c r="WV3" s="694"/>
      <c r="WW3" s="694"/>
      <c r="WX3" s="694"/>
      <c r="WY3" s="694"/>
      <c r="WZ3" s="694"/>
      <c r="XA3" s="694"/>
      <c r="XB3" s="694"/>
      <c r="XC3" s="694"/>
      <c r="XD3" s="694"/>
      <c r="XE3" s="694"/>
      <c r="XF3" s="694"/>
      <c r="XG3" s="694"/>
      <c r="XH3" s="694"/>
      <c r="XI3" s="694"/>
      <c r="XJ3" s="694"/>
      <c r="XK3" s="694"/>
      <c r="XL3" s="694"/>
      <c r="XM3" s="694"/>
      <c r="XN3" s="694"/>
      <c r="XO3" s="694"/>
      <c r="XP3" s="694"/>
      <c r="XQ3" s="694"/>
      <c r="XR3" s="694"/>
      <c r="XS3" s="694"/>
      <c r="XT3" s="694"/>
      <c r="XU3" s="694"/>
      <c r="XV3" s="694"/>
      <c r="XW3" s="694"/>
      <c r="XX3" s="694"/>
      <c r="XY3" s="694"/>
      <c r="XZ3" s="694"/>
      <c r="YA3" s="694"/>
      <c r="YB3" s="694"/>
      <c r="YC3" s="694"/>
      <c r="YD3" s="694"/>
      <c r="YE3" s="694"/>
      <c r="YF3" s="694"/>
      <c r="YG3" s="694"/>
      <c r="YH3" s="694"/>
      <c r="YI3" s="694"/>
      <c r="YJ3" s="694"/>
      <c r="YK3" s="694"/>
      <c r="YL3" s="694"/>
      <c r="YM3" s="694"/>
      <c r="YN3" s="694"/>
      <c r="YO3" s="694"/>
      <c r="YP3" s="694"/>
      <c r="YQ3" s="694"/>
      <c r="YR3" s="694"/>
      <c r="YS3" s="694"/>
      <c r="YT3" s="694"/>
      <c r="YU3" s="694"/>
      <c r="YV3" s="694"/>
      <c r="YW3" s="694"/>
      <c r="YX3" s="694"/>
      <c r="YY3" s="694"/>
      <c r="YZ3" s="694"/>
      <c r="ZA3" s="694"/>
      <c r="ZB3" s="694"/>
      <c r="ZC3" s="694"/>
      <c r="ZD3" s="694"/>
      <c r="ZE3" s="694"/>
      <c r="ZF3" s="694"/>
      <c r="ZG3" s="694"/>
      <c r="ZH3" s="694"/>
      <c r="ZI3" s="694"/>
      <c r="ZJ3" s="694"/>
      <c r="ZK3" s="694"/>
      <c r="ZL3" s="694"/>
      <c r="ZM3" s="694"/>
      <c r="ZN3" s="694"/>
      <c r="ZO3" s="694"/>
      <c r="ZP3" s="694"/>
      <c r="ZQ3" s="694"/>
      <c r="ZR3" s="694"/>
      <c r="ZS3" s="694"/>
      <c r="ZT3" s="694"/>
      <c r="ZU3" s="694"/>
      <c r="ZV3" s="694"/>
      <c r="ZW3" s="694"/>
      <c r="ZX3" s="694"/>
      <c r="ZY3" s="694"/>
      <c r="ZZ3" s="694"/>
      <c r="AAA3" s="694"/>
      <c r="AAB3" s="694"/>
      <c r="AAC3" s="694"/>
      <c r="AAD3" s="694"/>
      <c r="AAE3" s="694"/>
      <c r="AAF3" s="694"/>
      <c r="AAG3" s="694"/>
      <c r="AAH3" s="694"/>
      <c r="AAI3" s="694"/>
      <c r="AAJ3" s="694"/>
      <c r="AAK3" s="694"/>
      <c r="AAL3" s="694"/>
      <c r="AAM3" s="694"/>
      <c r="AAN3" s="694"/>
      <c r="AAO3" s="694"/>
      <c r="AAP3" s="694"/>
      <c r="AAQ3" s="694"/>
      <c r="AAR3" s="694"/>
      <c r="AAS3" s="694"/>
      <c r="AAT3" s="694"/>
      <c r="AAU3" s="694"/>
      <c r="AAV3" s="694"/>
      <c r="AAW3" s="694"/>
    </row>
    <row r="4" spans="1:725" ht="16.5" x14ac:dyDescent="0.25">
      <c r="A4" s="694"/>
      <c r="B4" s="694"/>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E4" s="694"/>
      <c r="AF4" s="694"/>
      <c r="AG4" s="694"/>
      <c r="AH4" s="694"/>
      <c r="AI4" s="694"/>
      <c r="AJ4" s="694"/>
      <c r="AK4" s="694"/>
      <c r="AL4" s="694"/>
      <c r="AM4" s="694"/>
      <c r="AN4" s="694"/>
      <c r="AO4" s="694"/>
      <c r="AP4" s="694"/>
      <c r="AQ4" s="694"/>
      <c r="AR4" s="694"/>
      <c r="AS4" s="694"/>
      <c r="AT4" s="694"/>
      <c r="AU4" s="694"/>
      <c r="AV4" s="694"/>
      <c r="AW4" s="694"/>
      <c r="AX4" s="694"/>
      <c r="AY4" s="694"/>
      <c r="AZ4" s="694"/>
      <c r="BA4" s="694"/>
      <c r="BB4" s="694"/>
      <c r="BC4" s="694"/>
      <c r="BD4" s="694"/>
      <c r="BE4" s="694"/>
      <c r="BF4" s="694"/>
      <c r="BG4" s="694"/>
      <c r="BH4" s="694"/>
      <c r="BI4" s="694"/>
      <c r="BJ4" s="694"/>
      <c r="BK4" s="694"/>
      <c r="BL4" s="694"/>
      <c r="BM4" s="694"/>
      <c r="BN4" s="694"/>
      <c r="BO4" s="694"/>
      <c r="BP4" s="694"/>
      <c r="BQ4" s="694"/>
      <c r="BR4" s="694"/>
      <c r="BS4" s="694"/>
      <c r="BT4" s="694"/>
      <c r="BU4" s="694"/>
      <c r="BV4" s="694"/>
      <c r="BW4" s="694"/>
      <c r="BX4" s="694"/>
      <c r="BY4" s="694"/>
      <c r="BZ4" s="694"/>
      <c r="CA4" s="694"/>
      <c r="CB4" s="694"/>
      <c r="CC4" s="694"/>
      <c r="CD4" s="694"/>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4"/>
      <c r="ED4" s="694"/>
      <c r="EE4" s="694"/>
      <c r="EF4" s="694"/>
      <c r="EG4" s="694"/>
      <c r="EH4" s="694"/>
      <c r="EI4" s="694"/>
      <c r="EJ4" s="694"/>
      <c r="EK4" s="694"/>
      <c r="EL4" s="694"/>
      <c r="EM4" s="694"/>
      <c r="EN4" s="694"/>
      <c r="EO4" s="694"/>
      <c r="EP4" s="694"/>
      <c r="EQ4" s="694"/>
      <c r="ER4" s="694"/>
      <c r="ES4" s="694"/>
      <c r="ET4" s="694"/>
      <c r="EU4" s="694"/>
      <c r="EV4" s="694"/>
      <c r="EW4" s="694"/>
      <c r="EX4" s="694"/>
      <c r="EY4" s="694"/>
      <c r="EZ4" s="694"/>
      <c r="FA4" s="694"/>
      <c r="FB4" s="694"/>
      <c r="FC4" s="694"/>
      <c r="FD4" s="694"/>
      <c r="FE4" s="694"/>
      <c r="FF4" s="694"/>
      <c r="FG4" s="694"/>
      <c r="FH4" s="694"/>
      <c r="FI4" s="694"/>
      <c r="FJ4" s="694"/>
      <c r="FK4" s="694"/>
      <c r="FL4" s="694"/>
      <c r="FM4" s="694"/>
      <c r="FN4" s="694"/>
      <c r="FO4" s="694"/>
      <c r="FP4" s="694"/>
      <c r="FQ4" s="694"/>
      <c r="FR4" s="694"/>
      <c r="FS4" s="694"/>
      <c r="FT4" s="694"/>
      <c r="FU4" s="694"/>
      <c r="FV4" s="694"/>
      <c r="FW4" s="694"/>
      <c r="FX4" s="694"/>
      <c r="FY4" s="694"/>
      <c r="FZ4" s="694"/>
      <c r="GA4" s="694"/>
      <c r="GB4" s="694"/>
      <c r="GC4" s="694"/>
      <c r="GD4" s="694"/>
      <c r="GE4" s="694"/>
      <c r="GF4" s="694"/>
      <c r="GG4" s="694"/>
      <c r="GH4" s="694"/>
      <c r="GI4" s="694"/>
      <c r="GJ4" s="694"/>
      <c r="GK4" s="694"/>
      <c r="GL4" s="694"/>
      <c r="GM4" s="694"/>
      <c r="GN4" s="694"/>
      <c r="GO4" s="694"/>
      <c r="GP4" s="694"/>
      <c r="GQ4" s="694"/>
      <c r="GR4" s="694"/>
      <c r="GS4" s="694"/>
      <c r="GT4" s="694"/>
      <c r="GU4" s="694"/>
      <c r="GV4" s="694"/>
      <c r="GW4" s="694"/>
      <c r="GX4" s="694"/>
      <c r="GY4" s="694"/>
      <c r="GZ4" s="694"/>
      <c r="HA4" s="694"/>
      <c r="HB4" s="694"/>
      <c r="HC4" s="694"/>
      <c r="HD4" s="694"/>
      <c r="HE4" s="694"/>
      <c r="HF4" s="694"/>
      <c r="HG4" s="694"/>
      <c r="HH4" s="694"/>
      <c r="HI4" s="694"/>
      <c r="HJ4" s="694"/>
      <c r="HK4" s="694"/>
      <c r="HL4" s="694"/>
      <c r="HM4" s="694"/>
      <c r="HN4" s="694"/>
      <c r="HO4" s="694"/>
      <c r="HP4" s="694"/>
      <c r="HQ4" s="694"/>
      <c r="HR4" s="694"/>
      <c r="HS4" s="694"/>
      <c r="HT4" s="694"/>
      <c r="HU4" s="694"/>
      <c r="HV4" s="694"/>
      <c r="HW4" s="694"/>
      <c r="HX4" s="694"/>
      <c r="HY4" s="694"/>
      <c r="HZ4" s="694"/>
      <c r="IA4" s="694"/>
      <c r="IB4" s="694"/>
      <c r="IC4" s="694"/>
      <c r="ID4" s="694"/>
      <c r="IE4" s="694"/>
      <c r="IF4" s="694"/>
      <c r="IG4" s="694"/>
      <c r="IH4" s="694"/>
      <c r="II4" s="694"/>
      <c r="IJ4" s="694"/>
      <c r="IK4" s="694"/>
      <c r="IL4" s="694"/>
      <c r="IM4" s="694"/>
      <c r="IN4" s="694"/>
      <c r="IO4" s="694"/>
      <c r="IP4" s="694"/>
      <c r="IQ4" s="694"/>
      <c r="IR4" s="694"/>
      <c r="IS4" s="694"/>
      <c r="IT4" s="694"/>
      <c r="IU4" s="694"/>
      <c r="IV4" s="694"/>
      <c r="IW4" s="694"/>
      <c r="IX4" s="694"/>
      <c r="IY4" s="694"/>
      <c r="IZ4" s="694"/>
      <c r="JA4" s="694"/>
      <c r="JB4" s="694"/>
      <c r="JC4" s="694"/>
      <c r="JD4" s="694"/>
      <c r="JE4" s="694"/>
      <c r="JF4" s="694"/>
      <c r="JG4" s="694"/>
      <c r="JH4" s="694"/>
      <c r="JI4" s="694"/>
      <c r="JJ4" s="694"/>
      <c r="JK4" s="694"/>
      <c r="JL4" s="694"/>
      <c r="JM4" s="694"/>
      <c r="JN4" s="694"/>
      <c r="JO4" s="694"/>
      <c r="JP4" s="694"/>
      <c r="JQ4" s="694"/>
      <c r="JR4" s="694"/>
      <c r="JS4" s="694"/>
      <c r="JT4" s="694"/>
      <c r="JU4" s="694"/>
      <c r="JV4" s="694"/>
      <c r="JW4" s="694"/>
      <c r="JX4" s="694"/>
      <c r="JY4" s="694"/>
      <c r="JZ4" s="694"/>
      <c r="KA4" s="694"/>
      <c r="KB4" s="694"/>
      <c r="KC4" s="694"/>
      <c r="NB4" s="694"/>
      <c r="NC4" s="694"/>
      <c r="ND4" s="694"/>
      <c r="NE4" s="694"/>
      <c r="NF4" s="694"/>
      <c r="NG4" s="694"/>
      <c r="NH4" s="694"/>
      <c r="NI4" s="694"/>
      <c r="NJ4" s="694"/>
      <c r="NK4" s="694"/>
      <c r="NL4" s="694"/>
      <c r="NM4" s="694"/>
      <c r="NN4" s="694"/>
      <c r="NO4" s="694"/>
      <c r="NP4" s="694"/>
      <c r="NQ4" s="694"/>
      <c r="NR4" s="694"/>
      <c r="NS4" s="694"/>
      <c r="NT4" s="694"/>
      <c r="NU4" s="694"/>
      <c r="NV4" s="694"/>
      <c r="NW4" s="694"/>
      <c r="NX4" s="694"/>
      <c r="NY4" s="694"/>
      <c r="NZ4" s="694"/>
      <c r="OA4" s="694"/>
      <c r="OB4" s="694"/>
      <c r="OC4" s="694"/>
      <c r="OD4" s="694"/>
      <c r="OE4" s="694"/>
      <c r="OF4" s="694"/>
      <c r="OG4" s="694"/>
      <c r="OH4" s="694"/>
      <c r="OI4" s="694"/>
      <c r="OJ4" s="694"/>
      <c r="OK4" s="694"/>
      <c r="OL4" s="694"/>
      <c r="OM4" s="694"/>
      <c r="ON4" s="694"/>
      <c r="OO4" s="694"/>
      <c r="QH4" s="694"/>
      <c r="QI4" s="694"/>
      <c r="QJ4" s="694"/>
      <c r="QK4" s="694"/>
      <c r="QL4" s="694"/>
      <c r="QM4" s="694"/>
      <c r="QN4" s="694"/>
      <c r="QO4" s="694"/>
      <c r="QP4" s="694"/>
      <c r="QQ4" s="694"/>
      <c r="QR4" s="694"/>
      <c r="QS4" s="694"/>
      <c r="QT4" s="694"/>
      <c r="QU4" s="694"/>
      <c r="QV4" s="694"/>
      <c r="QW4" s="694"/>
      <c r="QX4" s="694"/>
      <c r="QY4" s="694"/>
      <c r="QZ4" s="694"/>
      <c r="RA4" s="694"/>
      <c r="RB4" s="694"/>
      <c r="RC4" s="694"/>
      <c r="RD4" s="694"/>
      <c r="RE4" s="694"/>
      <c r="RF4" s="694"/>
      <c r="RG4" s="694"/>
      <c r="RH4" s="694"/>
      <c r="RI4" s="694"/>
      <c r="RJ4" s="694"/>
      <c r="RK4" s="694"/>
      <c r="RL4" s="694"/>
      <c r="RM4" s="694"/>
      <c r="RN4" s="694"/>
      <c r="RO4" s="694"/>
      <c r="RP4" s="694"/>
      <c r="RQ4" s="694"/>
      <c r="RR4" s="694"/>
      <c r="RS4" s="694"/>
      <c r="RT4" s="694"/>
      <c r="RU4" s="694"/>
      <c r="RV4" s="694"/>
      <c r="RW4" s="694"/>
      <c r="RX4" s="694"/>
      <c r="RY4" s="694"/>
      <c r="RZ4" s="694"/>
      <c r="SA4" s="694"/>
      <c r="SB4" s="694"/>
      <c r="SC4" s="694"/>
      <c r="SD4" s="694"/>
      <c r="SE4" s="694"/>
      <c r="SF4" s="694"/>
      <c r="SG4" s="694"/>
      <c r="SH4" s="694"/>
      <c r="SI4" s="694"/>
      <c r="SJ4" s="694"/>
      <c r="SK4" s="694"/>
      <c r="SL4" s="694"/>
      <c r="SM4" s="694"/>
      <c r="SN4" s="694"/>
      <c r="SO4" s="694"/>
      <c r="SP4" s="694"/>
      <c r="SQ4" s="694"/>
      <c r="SR4" s="694"/>
      <c r="SS4" s="694"/>
      <c r="ST4" s="694"/>
      <c r="SU4" s="694"/>
      <c r="SV4" s="694"/>
      <c r="SW4" s="694"/>
      <c r="SX4" s="694"/>
      <c r="SY4" s="694"/>
      <c r="SZ4" s="694"/>
      <c r="TA4" s="694"/>
      <c r="TB4" s="694"/>
      <c r="TC4" s="694"/>
      <c r="TD4" s="694"/>
      <c r="TE4" s="694"/>
      <c r="TF4" s="694"/>
      <c r="TG4" s="694"/>
      <c r="TH4" s="694"/>
      <c r="TI4" s="694"/>
      <c r="TJ4" s="694"/>
      <c r="TK4" s="694"/>
      <c r="TL4" s="694"/>
      <c r="TM4" s="694"/>
      <c r="TN4" s="694"/>
      <c r="TO4" s="694"/>
      <c r="TP4" s="694"/>
      <c r="TQ4" s="694"/>
      <c r="TR4" s="694"/>
      <c r="TS4" s="694"/>
      <c r="TT4" s="694"/>
      <c r="TU4" s="694"/>
      <c r="TV4" s="694"/>
      <c r="TW4" s="694"/>
      <c r="TX4" s="694"/>
      <c r="TY4" s="694"/>
      <c r="TZ4" s="694"/>
      <c r="UA4" s="694"/>
      <c r="UB4" s="694"/>
      <c r="UC4" s="694"/>
      <c r="UD4" s="694"/>
      <c r="UE4" s="694"/>
      <c r="UF4" s="694"/>
      <c r="UG4" s="694"/>
      <c r="UH4" s="694"/>
      <c r="UI4" s="694"/>
      <c r="UJ4" s="694"/>
      <c r="UK4" s="694"/>
      <c r="UL4" s="694"/>
      <c r="UM4" s="694"/>
      <c r="UN4" s="694"/>
      <c r="UO4" s="694"/>
      <c r="UP4" s="694"/>
      <c r="UQ4" s="694"/>
      <c r="UR4" s="694"/>
      <c r="US4" s="694"/>
      <c r="UT4" s="694"/>
      <c r="UU4" s="694"/>
      <c r="UV4" s="694"/>
      <c r="UW4" s="694"/>
      <c r="UX4" s="694"/>
      <c r="UY4" s="694"/>
      <c r="UZ4" s="694"/>
      <c r="VA4" s="694"/>
      <c r="VB4" s="694"/>
      <c r="VC4" s="694"/>
      <c r="VD4" s="694"/>
      <c r="VE4" s="694"/>
      <c r="VF4" s="694"/>
      <c r="VG4" s="694"/>
      <c r="VH4" s="694"/>
      <c r="VI4" s="694"/>
      <c r="VJ4" s="694"/>
      <c r="VK4" s="694"/>
      <c r="VL4" s="694"/>
      <c r="VM4" s="694"/>
      <c r="VN4" s="694"/>
      <c r="VO4" s="694"/>
      <c r="VP4" s="694"/>
      <c r="VQ4" s="694"/>
      <c r="VR4" s="694"/>
      <c r="VS4" s="694"/>
      <c r="VT4" s="694"/>
      <c r="VU4" s="694"/>
      <c r="VV4" s="694"/>
      <c r="VW4" s="694"/>
      <c r="VX4" s="694"/>
      <c r="VY4" s="694"/>
      <c r="VZ4" s="694"/>
      <c r="WA4" s="694"/>
      <c r="WB4" s="694"/>
      <c r="WC4" s="694"/>
      <c r="WD4" s="694"/>
      <c r="WE4" s="694"/>
      <c r="WF4" s="694"/>
      <c r="WG4" s="694"/>
      <c r="WH4" s="694"/>
      <c r="WI4" s="694"/>
      <c r="WJ4" s="694"/>
      <c r="WK4" s="694"/>
      <c r="WL4" s="694"/>
      <c r="WM4" s="694"/>
      <c r="WN4" s="694"/>
      <c r="WO4" s="694"/>
      <c r="WP4" s="694"/>
      <c r="WQ4" s="694"/>
      <c r="WR4" s="694"/>
      <c r="WS4" s="694"/>
      <c r="WT4" s="694"/>
      <c r="WU4" s="694"/>
      <c r="WV4" s="694"/>
      <c r="WW4" s="694"/>
      <c r="WX4" s="694"/>
      <c r="WY4" s="694"/>
      <c r="WZ4" s="694"/>
      <c r="XA4" s="694"/>
      <c r="XB4" s="694"/>
      <c r="XC4" s="694"/>
      <c r="XD4" s="694"/>
      <c r="XE4" s="694"/>
      <c r="XF4" s="694"/>
      <c r="XG4" s="694"/>
      <c r="XH4" s="694"/>
      <c r="XI4" s="694"/>
      <c r="XJ4" s="694"/>
      <c r="XK4" s="694"/>
      <c r="XL4" s="694"/>
      <c r="XM4" s="694"/>
      <c r="XN4" s="694"/>
      <c r="XO4" s="694"/>
      <c r="XP4" s="694"/>
      <c r="XQ4" s="694"/>
      <c r="XR4" s="694"/>
      <c r="XS4" s="694"/>
      <c r="XT4" s="694"/>
      <c r="XU4" s="694"/>
      <c r="XV4" s="694"/>
      <c r="XW4" s="694"/>
      <c r="XX4" s="694"/>
      <c r="XY4" s="694"/>
      <c r="XZ4" s="694"/>
      <c r="YA4" s="694"/>
      <c r="YB4" s="694"/>
      <c r="YC4" s="694"/>
      <c r="YD4" s="694"/>
      <c r="YE4" s="694"/>
      <c r="YF4" s="694"/>
      <c r="YG4" s="694"/>
      <c r="YH4" s="694"/>
      <c r="YI4" s="694"/>
      <c r="YJ4" s="694"/>
      <c r="YK4" s="694"/>
      <c r="YL4" s="694"/>
      <c r="YM4" s="694"/>
      <c r="YN4" s="694"/>
      <c r="YO4" s="694"/>
      <c r="YP4" s="694"/>
      <c r="YQ4" s="694"/>
      <c r="YR4" s="694"/>
      <c r="YS4" s="694"/>
      <c r="YT4" s="694"/>
      <c r="YU4" s="694"/>
      <c r="YV4" s="694"/>
      <c r="YW4" s="694"/>
      <c r="YX4" s="694"/>
      <c r="YY4" s="694"/>
      <c r="YZ4" s="694"/>
      <c r="ZA4" s="694"/>
      <c r="ZB4" s="694"/>
      <c r="ZC4" s="694"/>
      <c r="ZD4" s="694"/>
      <c r="ZE4" s="694"/>
      <c r="ZF4" s="694"/>
      <c r="ZG4" s="694"/>
      <c r="ZH4" s="694"/>
      <c r="ZI4" s="694"/>
      <c r="ZJ4" s="694"/>
      <c r="ZK4" s="694"/>
      <c r="ZL4" s="694"/>
      <c r="ZM4" s="694"/>
      <c r="ZN4" s="694"/>
      <c r="ZO4" s="694"/>
      <c r="ZP4" s="694"/>
      <c r="ZQ4" s="694"/>
      <c r="ZR4" s="694"/>
      <c r="ZS4" s="694"/>
      <c r="ZT4" s="694"/>
      <c r="ZU4" s="694"/>
      <c r="ZV4" s="694"/>
      <c r="ZW4" s="694"/>
      <c r="ZX4" s="694"/>
      <c r="ZY4" s="694"/>
      <c r="ZZ4" s="694"/>
      <c r="AAA4" s="694"/>
      <c r="AAB4" s="694"/>
      <c r="AAC4" s="694"/>
      <c r="AAD4" s="694"/>
      <c r="AAE4" s="694"/>
      <c r="AAF4" s="694"/>
      <c r="AAG4" s="694"/>
      <c r="AAH4" s="694"/>
      <c r="AAI4" s="694"/>
      <c r="AAJ4" s="694"/>
      <c r="AAK4" s="694"/>
      <c r="AAL4" s="694"/>
      <c r="AAM4" s="694"/>
      <c r="AAN4" s="694"/>
      <c r="AAO4" s="694"/>
      <c r="AAP4" s="694"/>
      <c r="AAQ4" s="694"/>
      <c r="AAR4" s="694"/>
      <c r="AAS4" s="694"/>
      <c r="AAT4" s="694"/>
      <c r="AAU4" s="694"/>
      <c r="AAV4" s="694"/>
      <c r="AAW4" s="694"/>
    </row>
    <row r="5" spans="1:725" ht="17.25" thickBot="1" x14ac:dyDescent="0.3">
      <c r="A5" s="694"/>
      <c r="B5" s="694"/>
      <c r="C5" s="694"/>
      <c r="D5" s="694"/>
      <c r="E5" s="694"/>
      <c r="F5" s="694"/>
      <c r="G5" s="694"/>
      <c r="H5" s="694"/>
      <c r="I5" s="694"/>
      <c r="J5" s="694"/>
      <c r="K5" s="694"/>
      <c r="M5" s="694"/>
      <c r="N5" s="694"/>
      <c r="P5" s="694" t="s">
        <v>371</v>
      </c>
      <c r="Q5" s="694"/>
      <c r="R5" s="694"/>
      <c r="S5" s="694"/>
      <c r="T5" s="694"/>
      <c r="U5" s="694"/>
      <c r="V5" s="694"/>
      <c r="W5" s="694"/>
      <c r="X5" s="694"/>
      <c r="Y5" s="694"/>
      <c r="Z5" s="694"/>
      <c r="AA5" s="694"/>
      <c r="AB5" s="694"/>
      <c r="AC5" s="694"/>
      <c r="AD5" s="694"/>
      <c r="AE5" s="694"/>
      <c r="AF5" s="694"/>
      <c r="AG5" s="694"/>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94"/>
      <c r="BK5" s="694"/>
      <c r="BL5" s="694"/>
      <c r="BM5" s="694"/>
      <c r="BN5" s="694"/>
      <c r="BO5" s="694"/>
      <c r="BP5" s="694"/>
      <c r="BQ5" s="694"/>
      <c r="BR5" s="694"/>
      <c r="BS5" s="694"/>
      <c r="BT5" s="694"/>
      <c r="BU5" s="694"/>
      <c r="BV5" s="694"/>
      <c r="BW5" s="694"/>
      <c r="BX5" s="694"/>
      <c r="BY5" s="694"/>
      <c r="BZ5" s="694"/>
      <c r="CA5" s="694"/>
      <c r="CB5" s="694"/>
      <c r="CC5" s="694"/>
      <c r="CD5" s="694"/>
      <c r="CE5" s="694"/>
      <c r="CF5" s="694"/>
      <c r="CG5" s="694"/>
      <c r="CH5" s="694"/>
      <c r="CI5" s="694"/>
      <c r="CJ5" s="694"/>
      <c r="CK5" s="694"/>
      <c r="CL5" s="694"/>
      <c r="CM5" s="694"/>
      <c r="CN5" s="694"/>
      <c r="CO5" s="694"/>
      <c r="CP5" s="694"/>
      <c r="CQ5" s="694"/>
      <c r="CR5" s="694"/>
      <c r="CS5" s="694"/>
      <c r="CT5" s="694"/>
      <c r="CU5" s="694"/>
      <c r="CV5" s="694"/>
      <c r="CW5" s="694"/>
      <c r="CX5" s="694"/>
      <c r="CY5" s="694"/>
      <c r="CZ5" s="694"/>
      <c r="DA5" s="694"/>
      <c r="DB5" s="694"/>
      <c r="DC5" s="694"/>
      <c r="DD5" s="694"/>
      <c r="DE5" s="694"/>
      <c r="DF5" s="694"/>
      <c r="DG5" s="694"/>
      <c r="DH5" s="694"/>
      <c r="DI5" s="694"/>
      <c r="DJ5" s="694"/>
      <c r="DK5" s="694"/>
      <c r="DL5" s="694"/>
      <c r="DM5" s="694"/>
      <c r="DN5" s="694"/>
      <c r="DO5" s="694"/>
      <c r="DP5" s="694"/>
      <c r="DQ5" s="694"/>
      <c r="DR5" s="694"/>
      <c r="DS5" s="694"/>
      <c r="DT5" s="694"/>
      <c r="DU5" s="694"/>
      <c r="DV5" s="694"/>
      <c r="DW5" s="694"/>
      <c r="DX5" s="694"/>
      <c r="DY5" s="694"/>
      <c r="DZ5" s="694"/>
      <c r="EA5" s="694"/>
      <c r="EB5" s="694"/>
      <c r="EC5" s="694"/>
      <c r="ED5" s="694"/>
      <c r="EE5" s="694"/>
      <c r="EF5" s="694"/>
      <c r="EG5" s="694"/>
      <c r="EH5" s="694"/>
      <c r="EI5" s="694"/>
      <c r="EJ5" s="694"/>
      <c r="EK5" s="694"/>
      <c r="EL5" s="694"/>
      <c r="EM5" s="694"/>
      <c r="EN5" s="694"/>
      <c r="EO5" s="694"/>
      <c r="EP5" s="694"/>
      <c r="EQ5" s="694"/>
      <c r="ER5" s="694"/>
      <c r="ES5" s="694"/>
      <c r="ET5" s="694"/>
      <c r="EU5" s="694"/>
      <c r="EV5" s="694"/>
      <c r="EW5" s="694"/>
      <c r="EX5" s="694"/>
      <c r="EY5" s="694"/>
      <c r="EZ5" s="694"/>
      <c r="FA5" s="694"/>
      <c r="FB5" s="694"/>
      <c r="FC5" s="694"/>
      <c r="FD5" s="694"/>
      <c r="FE5" s="694"/>
      <c r="FF5" s="694"/>
      <c r="FG5" s="694"/>
      <c r="FH5" s="694"/>
      <c r="FI5" s="694"/>
      <c r="FJ5" s="694"/>
      <c r="FK5" s="694"/>
      <c r="FL5" s="694"/>
      <c r="FM5" s="694"/>
      <c r="FN5" s="694"/>
      <c r="FO5" s="694"/>
      <c r="FP5" s="694"/>
      <c r="FQ5" s="694"/>
      <c r="FR5" s="694"/>
      <c r="FS5" s="694"/>
      <c r="FT5" s="694"/>
      <c r="FU5" s="694"/>
      <c r="FV5" s="694"/>
      <c r="FW5" s="694"/>
      <c r="FX5" s="694"/>
      <c r="FY5" s="694"/>
      <c r="FZ5" s="694"/>
      <c r="GA5" s="694"/>
      <c r="GB5" s="694"/>
      <c r="GC5" s="694"/>
      <c r="GD5" s="694"/>
      <c r="GE5" s="694"/>
      <c r="GF5" s="694"/>
      <c r="GG5" s="694"/>
      <c r="GH5" s="694"/>
      <c r="GI5" s="694"/>
      <c r="GJ5" s="694"/>
      <c r="GK5" s="694"/>
      <c r="GL5" s="694"/>
      <c r="GM5" s="694"/>
      <c r="GN5" s="694"/>
      <c r="GO5" s="694"/>
      <c r="GP5" s="694"/>
      <c r="GQ5" s="694"/>
      <c r="GR5" s="694"/>
      <c r="GS5" s="694"/>
      <c r="GT5" s="694"/>
      <c r="GU5" s="694"/>
      <c r="GV5" s="694"/>
      <c r="GW5" s="694"/>
      <c r="GX5" s="694"/>
      <c r="GY5" s="694"/>
      <c r="GZ5" s="694"/>
      <c r="HA5" s="694"/>
      <c r="HB5" s="694"/>
      <c r="HC5" s="694"/>
      <c r="HD5" s="694"/>
      <c r="HE5" s="694"/>
      <c r="HF5" s="694"/>
      <c r="HG5" s="694"/>
      <c r="HH5" s="694"/>
      <c r="HI5" s="694"/>
      <c r="HJ5" s="694"/>
      <c r="HK5" s="694"/>
      <c r="HL5" s="694"/>
      <c r="HM5" s="694"/>
      <c r="HN5" s="694"/>
      <c r="HO5" s="694"/>
      <c r="HP5" s="694"/>
      <c r="HQ5" s="694"/>
      <c r="HR5" s="694"/>
      <c r="HS5" s="694"/>
      <c r="HT5" s="694"/>
      <c r="HU5" s="694"/>
      <c r="HV5" s="694"/>
      <c r="HW5" s="694"/>
      <c r="HX5" s="694"/>
      <c r="HY5" s="694"/>
      <c r="HZ5" s="694"/>
      <c r="IA5" s="694"/>
      <c r="IB5" s="694"/>
      <c r="IC5" s="694"/>
      <c r="ID5" s="694"/>
      <c r="IE5" s="694"/>
      <c r="IF5" s="694"/>
      <c r="IG5" s="694"/>
      <c r="IH5" s="694"/>
      <c r="II5" s="694"/>
      <c r="IJ5" s="694"/>
      <c r="IK5" s="694"/>
      <c r="IL5" s="694"/>
      <c r="IM5" s="694"/>
      <c r="IN5" s="694"/>
      <c r="IO5" s="694"/>
      <c r="IP5" s="694"/>
      <c r="IQ5" s="694"/>
      <c r="IR5" s="694"/>
      <c r="IS5" s="694"/>
      <c r="IT5" s="694"/>
      <c r="IU5" s="694"/>
      <c r="IV5" s="694"/>
      <c r="IW5" s="694"/>
      <c r="IX5" s="694"/>
      <c r="IY5" s="694"/>
      <c r="IZ5" s="694"/>
      <c r="JA5" s="694"/>
      <c r="JB5" s="694"/>
      <c r="JC5" s="694"/>
      <c r="JD5" s="694"/>
      <c r="JE5" s="694"/>
      <c r="JF5" s="694"/>
      <c r="JG5" s="694"/>
      <c r="JH5" s="694"/>
      <c r="JI5" s="694"/>
      <c r="JJ5" s="694"/>
      <c r="JK5" s="694"/>
      <c r="JL5" s="694"/>
      <c r="JM5" s="694"/>
      <c r="JN5" s="694"/>
      <c r="JO5" s="694"/>
      <c r="JP5" s="694"/>
      <c r="JQ5" s="694"/>
      <c r="JR5" s="694"/>
      <c r="JS5" s="694"/>
      <c r="JT5" s="694"/>
      <c r="JU5" s="694"/>
      <c r="JV5" s="694"/>
      <c r="JW5" s="694"/>
      <c r="JX5" s="694"/>
      <c r="JY5" s="694"/>
      <c r="JZ5" s="694"/>
      <c r="KA5" s="694"/>
      <c r="KB5" s="694"/>
      <c r="KC5" s="694"/>
      <c r="NB5" s="694"/>
      <c r="NC5" s="694"/>
      <c r="ND5" s="694"/>
      <c r="NE5" s="694"/>
      <c r="NF5" s="694"/>
      <c r="NG5" s="694"/>
      <c r="NH5" s="694"/>
      <c r="NI5" s="694"/>
      <c r="NJ5" s="694"/>
      <c r="NK5" s="694"/>
      <c r="NL5" s="694"/>
      <c r="NM5" s="694"/>
      <c r="NN5" s="694"/>
      <c r="NO5" s="694"/>
      <c r="NP5" s="694"/>
      <c r="NQ5" s="694"/>
      <c r="NR5" s="694"/>
      <c r="NS5" s="694"/>
      <c r="NT5" s="694"/>
      <c r="NU5" s="694"/>
      <c r="NV5" s="694"/>
      <c r="NW5" s="694"/>
      <c r="NX5" s="694"/>
      <c r="NY5" s="694"/>
      <c r="NZ5" s="694"/>
      <c r="OA5" s="694"/>
      <c r="OB5" s="694"/>
      <c r="OC5" s="694"/>
      <c r="OD5" s="694"/>
      <c r="OE5" s="694"/>
      <c r="OF5" s="694"/>
      <c r="OG5" s="694"/>
      <c r="OH5" s="694"/>
      <c r="OI5" s="694"/>
      <c r="OJ5" s="694"/>
      <c r="OK5" s="694"/>
      <c r="OL5" s="694"/>
      <c r="OM5" s="694"/>
      <c r="ON5" s="694"/>
      <c r="OO5" s="694"/>
      <c r="QH5" s="694"/>
      <c r="QI5" s="694"/>
      <c r="QJ5" s="694"/>
      <c r="QK5" s="694"/>
      <c r="QL5" s="694"/>
      <c r="QM5" s="694"/>
      <c r="QN5" s="694"/>
      <c r="QO5" s="694"/>
      <c r="QP5" s="694"/>
      <c r="QQ5" s="694"/>
      <c r="QR5" s="694"/>
      <c r="QS5" s="694"/>
      <c r="QT5" s="694"/>
      <c r="QU5" s="694"/>
      <c r="QV5" s="694"/>
      <c r="QW5" s="694"/>
      <c r="QX5" s="694"/>
      <c r="QY5" s="694"/>
      <c r="QZ5" s="694"/>
      <c r="RA5" s="694"/>
      <c r="RB5" s="694"/>
      <c r="RC5" s="694"/>
      <c r="RD5" s="694"/>
      <c r="RE5" s="694"/>
      <c r="RF5" s="694"/>
      <c r="RG5" s="694"/>
      <c r="RH5" s="694"/>
      <c r="RI5" s="694"/>
      <c r="RJ5" s="694"/>
      <c r="RK5" s="694"/>
      <c r="RL5" s="694"/>
      <c r="RM5" s="694"/>
      <c r="RN5" s="694"/>
      <c r="RO5" s="694"/>
      <c r="RP5" s="694"/>
      <c r="RQ5" s="694"/>
      <c r="RR5" s="694"/>
      <c r="RS5" s="694"/>
      <c r="RT5" s="694"/>
      <c r="RU5" s="694"/>
      <c r="RV5" s="694"/>
      <c r="RW5" s="694"/>
      <c r="RX5" s="694"/>
      <c r="RY5" s="694"/>
      <c r="RZ5" s="694"/>
      <c r="SA5" s="694"/>
      <c r="SB5" s="694"/>
      <c r="SC5" s="694"/>
      <c r="SD5" s="694"/>
      <c r="SE5" s="694"/>
      <c r="SF5" s="694"/>
      <c r="SG5" s="694"/>
      <c r="SH5" s="694"/>
      <c r="SI5" s="694"/>
      <c r="SJ5" s="694"/>
      <c r="SK5" s="694"/>
      <c r="SL5" s="694"/>
      <c r="SM5" s="694"/>
      <c r="SN5" s="694"/>
      <c r="SO5" s="694"/>
      <c r="SP5" s="694"/>
      <c r="SQ5" s="694"/>
      <c r="SR5" s="694"/>
      <c r="SS5" s="694"/>
      <c r="ST5" s="694"/>
      <c r="SU5" s="694"/>
      <c r="SV5" s="694"/>
      <c r="SW5" s="694"/>
      <c r="SX5" s="694"/>
      <c r="SY5" s="694"/>
      <c r="SZ5" s="694"/>
      <c r="TA5" s="694"/>
      <c r="TB5" s="694"/>
      <c r="TC5" s="694"/>
      <c r="TD5" s="694"/>
      <c r="TE5" s="694"/>
      <c r="TF5" s="694"/>
      <c r="TG5" s="694"/>
      <c r="TH5" s="694"/>
      <c r="TI5" s="694"/>
      <c r="TJ5" s="694"/>
      <c r="TK5" s="694"/>
      <c r="TL5" s="694"/>
      <c r="TM5" s="694"/>
      <c r="TN5" s="694"/>
      <c r="TO5" s="694"/>
      <c r="TP5" s="694"/>
      <c r="TQ5" s="694"/>
      <c r="TR5" s="694"/>
      <c r="TS5" s="694"/>
      <c r="TT5" s="694"/>
      <c r="TU5" s="694"/>
      <c r="TV5" s="694"/>
      <c r="TW5" s="694"/>
      <c r="TX5" s="694"/>
      <c r="TY5" s="694"/>
      <c r="TZ5" s="694"/>
      <c r="UA5" s="694"/>
      <c r="UB5" s="694"/>
      <c r="UC5" s="694"/>
      <c r="UD5" s="694"/>
      <c r="UE5" s="694"/>
      <c r="UF5" s="694"/>
      <c r="UG5" s="694"/>
      <c r="UH5" s="694"/>
      <c r="UI5" s="694"/>
      <c r="UJ5" s="694"/>
      <c r="UK5" s="694"/>
      <c r="UL5" s="694"/>
      <c r="UM5" s="694"/>
      <c r="UN5" s="694"/>
      <c r="UO5" s="694"/>
      <c r="UP5" s="694"/>
      <c r="UQ5" s="694"/>
      <c r="UR5" s="694"/>
      <c r="US5" s="694"/>
      <c r="UT5" s="694"/>
      <c r="UU5" s="694"/>
      <c r="UV5" s="694"/>
      <c r="UW5" s="694"/>
      <c r="UX5" s="694"/>
      <c r="UY5" s="694"/>
      <c r="UZ5" s="694"/>
      <c r="VA5" s="694"/>
      <c r="VB5" s="694"/>
      <c r="VC5" s="694"/>
      <c r="VD5" s="694"/>
      <c r="VE5" s="694"/>
      <c r="VF5" s="694"/>
      <c r="VG5" s="694"/>
      <c r="VH5" s="694"/>
      <c r="VI5" s="694"/>
      <c r="VJ5" s="694"/>
      <c r="VK5" s="694"/>
      <c r="VL5" s="694"/>
      <c r="VM5" s="694"/>
      <c r="VN5" s="694"/>
      <c r="VO5" s="694"/>
      <c r="VP5" s="694"/>
      <c r="VQ5" s="694"/>
      <c r="VR5" s="694"/>
      <c r="VS5" s="694"/>
      <c r="VT5" s="694"/>
      <c r="VU5" s="694"/>
      <c r="VV5" s="694"/>
      <c r="VW5" s="694"/>
      <c r="VX5" s="694"/>
      <c r="VY5" s="694"/>
      <c r="VZ5" s="694"/>
      <c r="WA5" s="694"/>
      <c r="WB5" s="694"/>
      <c r="WC5" s="694"/>
      <c r="WD5" s="694"/>
      <c r="WE5" s="694"/>
      <c r="WF5" s="694"/>
      <c r="WG5" s="694"/>
      <c r="WH5" s="694"/>
      <c r="WI5" s="694"/>
      <c r="WJ5" s="694"/>
      <c r="WK5" s="694"/>
      <c r="WL5" s="694"/>
      <c r="WM5" s="694"/>
      <c r="WN5" s="694"/>
      <c r="WO5" s="694"/>
      <c r="WP5" s="694"/>
      <c r="WQ5" s="694"/>
      <c r="WR5" s="694"/>
      <c r="WS5" s="694"/>
      <c r="WT5" s="694"/>
      <c r="WU5" s="694"/>
      <c r="WV5" s="694"/>
      <c r="WW5" s="694"/>
      <c r="WX5" s="694"/>
      <c r="WY5" s="694"/>
      <c r="WZ5" s="694"/>
      <c r="XA5" s="694"/>
      <c r="XB5" s="694"/>
      <c r="XC5" s="694"/>
      <c r="XD5" s="694"/>
      <c r="XE5" s="694"/>
      <c r="XF5" s="694"/>
      <c r="XG5" s="694"/>
      <c r="XH5" s="694"/>
      <c r="XI5" s="694"/>
      <c r="XJ5" s="694"/>
      <c r="XK5" s="694"/>
      <c r="XL5" s="694"/>
      <c r="XM5" s="694"/>
      <c r="XN5" s="694"/>
      <c r="XO5" s="694"/>
      <c r="XP5" s="694"/>
      <c r="XQ5" s="694"/>
      <c r="XR5" s="694"/>
      <c r="XS5" s="694"/>
      <c r="XT5" s="694"/>
      <c r="XU5" s="694"/>
      <c r="XV5" s="694"/>
      <c r="XW5" s="694"/>
      <c r="XX5" s="694"/>
      <c r="XY5" s="694"/>
      <c r="XZ5" s="694"/>
      <c r="YA5" s="694"/>
      <c r="YB5" s="694"/>
      <c r="YC5" s="694"/>
      <c r="YD5" s="694"/>
      <c r="YE5" s="694"/>
      <c r="YF5" s="694"/>
      <c r="YG5" s="694"/>
      <c r="YH5" s="694"/>
      <c r="YI5" s="694"/>
      <c r="YJ5" s="694"/>
      <c r="YK5" s="694"/>
      <c r="YL5" s="694"/>
      <c r="YM5" s="694"/>
      <c r="YN5" s="694"/>
      <c r="YO5" s="694"/>
      <c r="YP5" s="694"/>
      <c r="YQ5" s="694"/>
      <c r="YR5" s="694"/>
      <c r="YS5" s="694"/>
      <c r="YT5" s="694"/>
      <c r="YU5" s="694"/>
      <c r="YV5" s="694"/>
      <c r="YW5" s="694"/>
      <c r="YX5" s="694"/>
      <c r="YY5" s="694"/>
      <c r="YZ5" s="694"/>
      <c r="ZA5" s="694"/>
      <c r="ZB5" s="694"/>
      <c r="ZC5" s="694"/>
      <c r="ZD5" s="694"/>
      <c r="ZE5" s="694"/>
      <c r="ZF5" s="694"/>
      <c r="ZG5" s="694"/>
      <c r="ZH5" s="694"/>
      <c r="ZI5" s="694"/>
      <c r="ZJ5" s="694"/>
      <c r="ZK5" s="694"/>
      <c r="ZL5" s="694"/>
      <c r="ZM5" s="694"/>
      <c r="ZN5" s="694"/>
      <c r="ZO5" s="694"/>
      <c r="ZP5" s="694"/>
      <c r="ZQ5" s="694"/>
      <c r="ZR5" s="694"/>
      <c r="ZS5" s="694"/>
      <c r="ZT5" s="694"/>
      <c r="ZU5" s="694"/>
      <c r="ZV5" s="694"/>
      <c r="ZW5" s="694"/>
      <c r="ZX5" s="694"/>
      <c r="ZY5" s="694"/>
      <c r="ZZ5" s="694"/>
      <c r="AAA5" s="694"/>
      <c r="AAB5" s="694"/>
      <c r="AAC5" s="694"/>
      <c r="AAD5" s="694"/>
      <c r="AAE5" s="694"/>
      <c r="AAF5" s="694"/>
      <c r="AAG5" s="694"/>
      <c r="AAH5" s="694"/>
      <c r="AAI5" s="694"/>
      <c r="AAJ5" s="694"/>
      <c r="AAK5" s="694"/>
      <c r="AAL5" s="694"/>
      <c r="AAM5" s="694"/>
      <c r="AAN5" s="694"/>
      <c r="AAO5" s="694"/>
      <c r="AAP5" s="694"/>
      <c r="AAQ5" s="694"/>
      <c r="AAR5" s="694"/>
      <c r="AAS5" s="694"/>
      <c r="AAT5" s="694"/>
      <c r="AAU5" s="694"/>
      <c r="AAV5" s="694"/>
      <c r="AAW5" s="694"/>
    </row>
    <row r="6" spans="1:725" ht="21" customHeight="1" thickBot="1" x14ac:dyDescent="0.3">
      <c r="A6" s="1451" t="s">
        <v>812</v>
      </c>
      <c r="B6" s="1454" t="s">
        <v>916</v>
      </c>
      <c r="C6" s="1455"/>
      <c r="D6" s="695"/>
      <c r="E6" s="1186"/>
      <c r="F6" s="1186" t="s">
        <v>376</v>
      </c>
      <c r="G6" s="1186"/>
      <c r="H6" s="1186"/>
      <c r="I6" s="1186"/>
      <c r="J6" s="1186"/>
      <c r="K6" s="1186"/>
      <c r="L6" s="1186"/>
      <c r="M6" s="1186"/>
      <c r="N6" s="1186"/>
      <c r="O6" s="1186"/>
      <c r="P6" s="1186"/>
      <c r="Q6" s="1186"/>
      <c r="R6" s="1186"/>
      <c r="S6" s="1186"/>
      <c r="T6" s="1186"/>
      <c r="U6" s="1186"/>
      <c r="V6" s="1186"/>
      <c r="W6" s="1186"/>
      <c r="X6" s="1186"/>
      <c r="Y6" s="1186"/>
      <c r="Z6" s="1186"/>
      <c r="AA6" s="1186"/>
      <c r="AB6" s="1186"/>
      <c r="AC6" s="1186"/>
      <c r="AD6" s="1186"/>
      <c r="AE6" s="1186"/>
      <c r="AF6" s="1186"/>
      <c r="AG6" s="1186"/>
      <c r="AH6" s="1186"/>
      <c r="AI6" s="1186"/>
      <c r="AJ6" s="1186"/>
      <c r="AK6" s="1186"/>
      <c r="AL6" s="1186"/>
      <c r="AM6" s="1186"/>
      <c r="AN6" s="1186"/>
      <c r="AO6" s="1186"/>
      <c r="AP6" s="1186"/>
      <c r="AQ6" s="1186"/>
      <c r="AR6" s="1186"/>
      <c r="AS6" s="1186"/>
      <c r="AT6" s="1186"/>
      <c r="AU6" s="1186"/>
      <c r="AV6" s="1186"/>
      <c r="AW6" s="1186"/>
      <c r="AX6" s="1186"/>
      <c r="AY6" s="1186"/>
      <c r="AZ6" s="1186"/>
      <c r="BA6" s="1186"/>
      <c r="BB6" s="1186"/>
      <c r="BC6" s="1186"/>
      <c r="BD6" s="1186"/>
      <c r="BE6" s="1186"/>
      <c r="BF6" s="1186"/>
      <c r="BG6" s="1186"/>
      <c r="BH6" s="1186"/>
      <c r="BI6" s="1186"/>
      <c r="BJ6" s="1186"/>
      <c r="BK6" s="1186"/>
      <c r="BL6" s="1186"/>
      <c r="BM6" s="1186"/>
      <c r="BN6" s="1186"/>
      <c r="BO6" s="1186"/>
      <c r="BP6" s="1186"/>
      <c r="BQ6" s="1186"/>
      <c r="BR6" s="1186"/>
      <c r="BS6" s="1186"/>
      <c r="BT6" s="1186"/>
      <c r="BU6" s="1186"/>
      <c r="BV6" s="1186"/>
      <c r="BW6" s="1186"/>
      <c r="BX6" s="1186"/>
      <c r="BY6" s="1186"/>
      <c r="BZ6" s="1186"/>
      <c r="CA6" s="1186"/>
      <c r="CB6" s="1186"/>
      <c r="CC6" s="1186"/>
      <c r="CD6" s="1186"/>
      <c r="CE6" s="1186"/>
      <c r="CF6" s="1186"/>
      <c r="CG6" s="1186"/>
      <c r="CH6" s="1186"/>
      <c r="CI6" s="1186"/>
      <c r="CJ6" s="1186"/>
      <c r="CK6" s="1186"/>
      <c r="CL6" s="1186"/>
      <c r="CM6" s="1186"/>
      <c r="CN6" s="1186"/>
      <c r="CO6" s="1186"/>
      <c r="CP6" s="1186"/>
      <c r="CQ6" s="1186"/>
      <c r="CR6" s="1186"/>
      <c r="CS6" s="1186"/>
      <c r="CT6" s="1186"/>
      <c r="CU6" s="1186"/>
      <c r="CV6" s="1186"/>
      <c r="CW6" s="1186"/>
      <c r="CX6" s="1186"/>
      <c r="CY6" s="1186"/>
      <c r="CZ6" s="1186"/>
      <c r="DA6" s="1186"/>
      <c r="DB6" s="1186"/>
      <c r="DC6" s="1186"/>
      <c r="DD6" s="1186"/>
      <c r="DE6" s="1186"/>
      <c r="DF6" s="1186"/>
      <c r="DG6" s="1186"/>
      <c r="DH6" s="1186"/>
      <c r="DI6" s="1186"/>
      <c r="DJ6" s="1186"/>
      <c r="DK6" s="1186"/>
      <c r="DL6" s="1186"/>
      <c r="DM6" s="1186"/>
      <c r="DN6" s="1186"/>
      <c r="DO6" s="1186"/>
      <c r="DP6" s="1186"/>
      <c r="DQ6" s="1186"/>
      <c r="DR6" s="1186"/>
      <c r="DS6" s="1186"/>
      <c r="DT6" s="1186"/>
      <c r="DU6" s="1186"/>
      <c r="DV6" s="1186"/>
      <c r="DW6" s="1186"/>
      <c r="DX6" s="1186"/>
      <c r="DY6" s="1186"/>
      <c r="DZ6" s="1186"/>
      <c r="EA6" s="1186"/>
      <c r="EB6" s="1186"/>
      <c r="EC6" s="1186"/>
      <c r="ED6" s="1186"/>
      <c r="EE6" s="1186"/>
      <c r="EF6" s="1186"/>
      <c r="EG6" s="1186"/>
      <c r="EH6" s="1186"/>
      <c r="EI6" s="1186"/>
      <c r="EJ6" s="1186"/>
      <c r="EK6" s="1186"/>
      <c r="EL6" s="1186"/>
      <c r="EM6" s="1186"/>
      <c r="EN6" s="1186"/>
      <c r="EO6" s="1186"/>
      <c r="EP6" s="1186"/>
      <c r="EQ6" s="1186"/>
      <c r="ER6" s="1186"/>
      <c r="ES6" s="1186"/>
      <c r="ET6" s="1186"/>
      <c r="EU6" s="1186"/>
      <c r="EV6" s="1186"/>
      <c r="EW6" s="1186"/>
      <c r="EX6" s="1186"/>
      <c r="EY6" s="1186"/>
      <c r="EZ6" s="1186"/>
      <c r="FA6" s="1186"/>
      <c r="FB6" s="1186"/>
      <c r="FC6" s="1186"/>
      <c r="FD6" s="1186"/>
      <c r="FE6" s="1186"/>
      <c r="FF6" s="1186"/>
      <c r="FG6" s="1186"/>
      <c r="FH6" s="1186"/>
      <c r="FI6" s="1186"/>
      <c r="FJ6" s="1186"/>
      <c r="FK6" s="1186"/>
      <c r="FL6" s="1186"/>
      <c r="FM6" s="1186"/>
      <c r="FN6" s="1186"/>
      <c r="FO6" s="1186"/>
      <c r="FP6" s="1186"/>
      <c r="FQ6" s="1186"/>
      <c r="FR6" s="1186"/>
      <c r="FS6" s="1186"/>
      <c r="FT6" s="1186"/>
      <c r="FU6" s="1186"/>
      <c r="FV6" s="1186"/>
      <c r="FW6" s="1186"/>
      <c r="FX6" s="1186"/>
      <c r="FY6" s="1186"/>
      <c r="FZ6" s="1186"/>
      <c r="GA6" s="1186"/>
      <c r="GB6" s="1186"/>
      <c r="GC6" s="1186"/>
      <c r="GD6" s="1186"/>
      <c r="GE6" s="1186"/>
      <c r="GF6" s="1186"/>
      <c r="GG6" s="1186"/>
      <c r="GH6" s="1186"/>
      <c r="GI6" s="1186"/>
      <c r="GJ6" s="1186"/>
      <c r="GK6" s="1186"/>
      <c r="GL6" s="1186"/>
      <c r="GM6" s="1186"/>
      <c r="GN6" s="1186"/>
      <c r="GO6" s="1186"/>
      <c r="GP6" s="1186"/>
      <c r="GQ6" s="1186"/>
      <c r="GR6" s="1186"/>
      <c r="GS6" s="1186"/>
      <c r="GT6" s="1186"/>
      <c r="GU6" s="1186"/>
      <c r="GV6" s="1186"/>
      <c r="GW6" s="1186"/>
      <c r="GX6" s="1186"/>
      <c r="GY6" s="1186"/>
      <c r="GZ6" s="1186"/>
      <c r="HA6" s="1186"/>
      <c r="HB6" s="1186"/>
      <c r="HC6" s="1186"/>
      <c r="HD6" s="1186"/>
      <c r="HE6" s="1186"/>
      <c r="HF6" s="1186"/>
      <c r="HG6" s="1186"/>
      <c r="HH6" s="1186"/>
      <c r="HI6" s="1186"/>
      <c r="HJ6" s="1186"/>
      <c r="HK6" s="1186"/>
      <c r="HL6" s="1186"/>
      <c r="HM6" s="1186"/>
      <c r="HN6" s="1186"/>
      <c r="HO6" s="1186"/>
      <c r="HP6" s="1186"/>
      <c r="HQ6" s="1186"/>
      <c r="HR6" s="1186"/>
      <c r="HS6" s="1186"/>
      <c r="HT6" s="1186"/>
      <c r="HU6" s="1186"/>
      <c r="HV6" s="1186"/>
      <c r="HW6" s="1186"/>
      <c r="HX6" s="1186"/>
      <c r="HY6" s="1186"/>
      <c r="HZ6" s="1186"/>
      <c r="IA6" s="1186"/>
      <c r="IB6" s="1186"/>
      <c r="IC6" s="1186"/>
      <c r="ID6" s="1186"/>
      <c r="IE6" s="1186"/>
      <c r="IF6" s="1186"/>
      <c r="IG6" s="1186"/>
      <c r="IH6" s="1186"/>
      <c r="II6" s="1186"/>
      <c r="IJ6" s="1186"/>
      <c r="IK6" s="1186"/>
      <c r="IL6" s="1186"/>
      <c r="IM6" s="1186"/>
      <c r="IN6" s="1186"/>
      <c r="IO6" s="1186"/>
      <c r="IP6" s="1186"/>
      <c r="IQ6" s="1186"/>
      <c r="IR6" s="1186"/>
      <c r="IS6" s="1186"/>
      <c r="IT6" s="1186"/>
      <c r="IU6" s="1186"/>
      <c r="IV6" s="1186"/>
      <c r="IW6" s="1186"/>
      <c r="IX6" s="1186"/>
      <c r="IY6" s="1186"/>
      <c r="IZ6" s="1186"/>
      <c r="JA6" s="1186"/>
      <c r="JB6" s="1186"/>
      <c r="JC6" s="1186"/>
      <c r="JD6" s="1186"/>
      <c r="JE6" s="1186"/>
      <c r="JF6" s="1186"/>
      <c r="JG6" s="1186"/>
      <c r="JH6" s="1186"/>
      <c r="JI6" s="1186"/>
      <c r="JJ6" s="1186"/>
      <c r="JK6" s="1186"/>
      <c r="JL6" s="1186"/>
      <c r="JM6" s="1186"/>
      <c r="JN6" s="1186"/>
      <c r="JO6" s="1186"/>
      <c r="JP6" s="1186"/>
      <c r="JQ6" s="1186"/>
      <c r="JR6" s="1186"/>
      <c r="JS6" s="1186"/>
      <c r="JT6" s="1186"/>
      <c r="JU6" s="1186"/>
      <c r="JV6" s="1186"/>
      <c r="JW6" s="1186"/>
      <c r="JX6" s="1186"/>
      <c r="JY6" s="1186"/>
      <c r="JZ6" s="1186"/>
      <c r="KA6" s="1186"/>
      <c r="KB6" s="1186"/>
      <c r="KC6" s="1186"/>
      <c r="KD6" s="1186"/>
      <c r="KE6" s="1186"/>
      <c r="KF6" s="1186"/>
      <c r="KG6" s="1186"/>
      <c r="KH6" s="1186"/>
      <c r="KI6" s="1186"/>
      <c r="KJ6" s="1186"/>
      <c r="KK6" s="1186"/>
      <c r="KL6" s="1186"/>
      <c r="KM6" s="1186"/>
      <c r="KN6" s="1186"/>
      <c r="KO6" s="1186"/>
      <c r="KP6" s="1186"/>
      <c r="KQ6" s="1186"/>
      <c r="KR6" s="1186"/>
      <c r="KS6" s="1186"/>
      <c r="KT6" s="1186"/>
      <c r="KU6" s="1186"/>
      <c r="KV6" s="1186"/>
      <c r="KW6" s="1186"/>
      <c r="KX6" s="1186"/>
      <c r="KY6" s="1186"/>
      <c r="KZ6" s="1186"/>
      <c r="LA6" s="1186"/>
      <c r="LB6" s="1186"/>
      <c r="LC6" s="1186"/>
      <c r="LD6" s="1186"/>
      <c r="LE6" s="1186"/>
      <c r="LF6" s="1186"/>
      <c r="LG6" s="1186"/>
      <c r="LH6" s="1186"/>
      <c r="LI6" s="1186"/>
      <c r="LJ6" s="1186"/>
      <c r="LK6" s="1186"/>
      <c r="LL6" s="1186"/>
      <c r="LM6" s="1186"/>
      <c r="LN6" s="1186"/>
      <c r="LO6" s="1186"/>
      <c r="LP6" s="1186"/>
      <c r="LQ6" s="1186"/>
      <c r="LR6" s="1186"/>
      <c r="LS6" s="1186"/>
      <c r="LT6" s="1186"/>
      <c r="LU6" s="1186"/>
      <c r="LV6" s="1186"/>
      <c r="LW6" s="1186"/>
      <c r="LX6" s="1186"/>
      <c r="LY6" s="1186"/>
      <c r="LZ6" s="1186"/>
      <c r="MA6" s="1186"/>
      <c r="MB6" s="1186"/>
      <c r="MC6" s="1186"/>
      <c r="MD6" s="1186"/>
      <c r="ME6" s="1186"/>
      <c r="MF6" s="1186"/>
      <c r="MG6" s="1186"/>
      <c r="MH6" s="1186"/>
      <c r="MI6" s="1186"/>
      <c r="MJ6" s="1186"/>
      <c r="MK6" s="1186"/>
      <c r="ML6" s="1186"/>
      <c r="MM6" s="1186"/>
      <c r="MN6" s="1186"/>
      <c r="MO6" s="1186"/>
      <c r="MP6" s="1186"/>
      <c r="MQ6" s="1186"/>
      <c r="MR6" s="1186"/>
      <c r="MS6" s="1186"/>
      <c r="MT6" s="1186"/>
      <c r="MU6" s="1186"/>
      <c r="MV6" s="1186"/>
      <c r="MW6" s="1186"/>
      <c r="MX6" s="1186"/>
      <c r="MY6" s="1186"/>
      <c r="MZ6" s="1186"/>
      <c r="NA6" s="1186"/>
      <c r="NB6" s="1186"/>
      <c r="NC6" s="1186"/>
      <c r="ND6" s="1186"/>
      <c r="NE6" s="1186"/>
      <c r="NF6" s="1186"/>
      <c r="NG6" s="1186"/>
      <c r="NH6" s="1186"/>
      <c r="NI6" s="1186"/>
      <c r="NJ6" s="1186"/>
      <c r="NK6" s="1186"/>
      <c r="NL6" s="1186"/>
      <c r="NM6" s="1186"/>
      <c r="NN6" s="1186"/>
      <c r="NO6" s="1186"/>
      <c r="NP6" s="1186"/>
      <c r="NQ6" s="1186"/>
      <c r="NR6" s="1186"/>
      <c r="NS6" s="1186"/>
      <c r="NT6" s="1186"/>
      <c r="NU6" s="1186"/>
      <c r="NV6" s="1186"/>
      <c r="NW6" s="1186"/>
      <c r="NX6" s="1186"/>
      <c r="NY6" s="1186"/>
      <c r="NZ6" s="1186"/>
      <c r="OA6" s="1186"/>
      <c r="OB6" s="1186"/>
      <c r="OC6" s="1186"/>
      <c r="OD6" s="1186"/>
      <c r="OE6" s="1186"/>
      <c r="OF6" s="1186"/>
      <c r="OG6" s="1186"/>
      <c r="OH6" s="1186"/>
      <c r="OI6" s="1186"/>
      <c r="OJ6" s="1186"/>
      <c r="OK6" s="1186"/>
      <c r="OL6" s="1186"/>
      <c r="OM6" s="1186"/>
      <c r="ON6" s="1186"/>
      <c r="OO6" s="1186"/>
      <c r="OP6" s="1186"/>
      <c r="OQ6" s="1186"/>
      <c r="OR6" s="1186"/>
      <c r="OS6" s="1186"/>
      <c r="OT6" s="1186"/>
      <c r="OU6" s="1186"/>
      <c r="OV6" s="1186"/>
      <c r="OW6" s="1186"/>
      <c r="OX6" s="1186"/>
      <c r="OY6" s="1186"/>
      <c r="OZ6" s="1186"/>
      <c r="PA6" s="1186"/>
      <c r="PB6" s="1186"/>
      <c r="PC6" s="1186"/>
      <c r="PD6" s="1186"/>
      <c r="PE6" s="1186"/>
      <c r="PF6" s="1186"/>
      <c r="PG6" s="1186"/>
      <c r="PH6" s="1186"/>
      <c r="PI6" s="1186"/>
      <c r="PJ6" s="1186"/>
      <c r="PK6" s="1186"/>
      <c r="PL6" s="1186"/>
      <c r="PM6" s="1186"/>
      <c r="PN6" s="1186"/>
      <c r="PO6" s="1186"/>
      <c r="PP6" s="1186"/>
      <c r="PQ6" s="1186"/>
      <c r="PR6" s="1186"/>
      <c r="PS6" s="1186"/>
      <c r="PT6" s="1186"/>
      <c r="PU6" s="1186"/>
      <c r="PV6" s="1186"/>
      <c r="PW6" s="1186"/>
      <c r="PX6" s="1186"/>
      <c r="PY6" s="1186"/>
      <c r="PZ6" s="1186"/>
      <c r="QA6" s="1186"/>
      <c r="QB6" s="1186"/>
      <c r="QC6" s="1186"/>
      <c r="QD6" s="1186"/>
      <c r="QE6" s="1186"/>
      <c r="QF6" s="1186"/>
      <c r="QG6" s="1186"/>
      <c r="QH6" s="1186"/>
      <c r="QI6" s="1186"/>
      <c r="QJ6" s="1186"/>
      <c r="QK6" s="1186"/>
      <c r="QL6" s="1186"/>
      <c r="QM6" s="1186"/>
      <c r="QN6" s="1186"/>
      <c r="QO6" s="1186"/>
      <c r="QP6" s="1186"/>
      <c r="QQ6" s="1186"/>
      <c r="QR6" s="1186"/>
      <c r="QS6" s="1186"/>
      <c r="QT6" s="1186"/>
      <c r="QU6" s="1186"/>
      <c r="QV6" s="1186"/>
      <c r="QW6" s="1186"/>
      <c r="QX6" s="1186"/>
      <c r="QY6" s="1186"/>
      <c r="QZ6" s="1186"/>
      <c r="RA6" s="1186"/>
      <c r="RB6" s="1186"/>
      <c r="RC6" s="1186"/>
      <c r="RD6" s="1186"/>
      <c r="RE6" s="1186"/>
      <c r="RF6" s="1186"/>
      <c r="RG6" s="1186"/>
      <c r="RH6" s="1186"/>
      <c r="RI6" s="1186"/>
      <c r="RJ6" s="1186"/>
      <c r="RK6" s="1186"/>
      <c r="RL6" s="1186"/>
      <c r="RM6" s="1186"/>
      <c r="RN6" s="1186"/>
      <c r="RO6" s="1186"/>
      <c r="RP6" s="1186"/>
      <c r="RQ6" s="1186"/>
      <c r="RR6" s="1186"/>
      <c r="RS6" s="1186"/>
      <c r="RT6" s="1186"/>
      <c r="RU6" s="1186"/>
      <c r="RV6" s="1186"/>
      <c r="RW6" s="1186"/>
      <c r="RX6" s="1186"/>
      <c r="RY6" s="1186"/>
      <c r="RZ6" s="1186"/>
      <c r="SA6" s="1186"/>
      <c r="SB6" s="1186"/>
      <c r="SC6" s="1186"/>
      <c r="SD6" s="1186"/>
      <c r="SE6" s="1186"/>
      <c r="SF6" s="1186"/>
      <c r="SG6" s="1186"/>
      <c r="SH6" s="1186"/>
      <c r="SI6" s="1186"/>
      <c r="SJ6" s="1186"/>
      <c r="SK6" s="1186"/>
      <c r="SL6" s="1186"/>
      <c r="SM6" s="1186"/>
      <c r="SN6" s="1186"/>
      <c r="SO6" s="1186"/>
      <c r="SP6" s="1186"/>
      <c r="SQ6" s="1186"/>
      <c r="SR6" s="1186"/>
      <c r="SS6" s="1186"/>
      <c r="ST6" s="1186"/>
      <c r="SU6" s="1186"/>
      <c r="SV6" s="1186"/>
      <c r="SW6" s="1186"/>
      <c r="SX6" s="1186"/>
      <c r="SY6" s="1186"/>
      <c r="SZ6" s="1186"/>
      <c r="TA6" s="1186"/>
      <c r="TB6" s="1186"/>
      <c r="TC6" s="1186"/>
      <c r="TD6" s="1186"/>
      <c r="TE6" s="1186"/>
      <c r="TF6" s="1186"/>
      <c r="TG6" s="1186"/>
      <c r="TH6" s="1186"/>
      <c r="TI6" s="1186"/>
      <c r="TJ6" s="1186"/>
      <c r="TK6" s="1186"/>
      <c r="TL6" s="1186"/>
      <c r="TM6" s="1186"/>
      <c r="TN6" s="1186"/>
      <c r="TO6" s="1186"/>
      <c r="TP6" s="1186"/>
      <c r="TQ6" s="1186"/>
      <c r="TR6" s="1186"/>
      <c r="TS6" s="1186"/>
      <c r="TT6" s="1186"/>
      <c r="TU6" s="1186"/>
      <c r="TV6" s="1186"/>
      <c r="TW6" s="1186"/>
      <c r="TX6" s="1186"/>
      <c r="TY6" s="1186"/>
      <c r="TZ6" s="1186"/>
      <c r="UA6" s="1186"/>
      <c r="UB6" s="1186"/>
      <c r="UC6" s="1186"/>
      <c r="UD6" s="1186"/>
      <c r="UE6" s="1186"/>
      <c r="UF6" s="1186"/>
      <c r="UG6" s="1186"/>
      <c r="UH6" s="1186"/>
      <c r="UI6" s="1186"/>
      <c r="UJ6" s="1186"/>
      <c r="UK6" s="1186"/>
      <c r="UL6" s="1186"/>
      <c r="UM6" s="1186"/>
      <c r="UN6" s="1186"/>
      <c r="UO6" s="1186"/>
      <c r="UP6" s="1186"/>
      <c r="UQ6" s="1186"/>
      <c r="UR6" s="1186"/>
      <c r="US6" s="1186"/>
      <c r="UT6" s="1186"/>
      <c r="UU6" s="1186"/>
      <c r="UV6" s="1186"/>
      <c r="UW6" s="1186"/>
      <c r="UX6" s="1186"/>
      <c r="UY6" s="1186"/>
      <c r="UZ6" s="1186"/>
      <c r="VA6" s="1186"/>
      <c r="VB6" s="1186"/>
      <c r="VC6" s="1186"/>
      <c r="VD6" s="1186"/>
      <c r="VE6" s="1186"/>
      <c r="VF6" s="1186"/>
      <c r="VG6" s="1186"/>
      <c r="VH6" s="1186"/>
      <c r="VI6" s="1186"/>
      <c r="VJ6" s="1186"/>
      <c r="VK6" s="1186"/>
      <c r="VL6" s="1186"/>
      <c r="VM6" s="1186"/>
      <c r="VN6" s="1186"/>
      <c r="VO6" s="1186"/>
      <c r="VP6" s="1186"/>
      <c r="VQ6" s="1186"/>
      <c r="VR6" s="1186"/>
      <c r="VS6" s="1186"/>
      <c r="VT6" s="1186"/>
      <c r="VU6" s="1186"/>
      <c r="VV6" s="1186"/>
      <c r="VW6" s="1186"/>
      <c r="VX6" s="1186"/>
      <c r="VY6" s="1186"/>
      <c r="VZ6" s="1186"/>
      <c r="WA6" s="1186"/>
      <c r="WB6" s="1186"/>
      <c r="WC6" s="1186"/>
      <c r="WD6" s="1186"/>
      <c r="WE6" s="1186"/>
      <c r="WF6" s="1186"/>
      <c r="WG6" s="1186"/>
      <c r="WH6" s="1186"/>
      <c r="WI6" s="1186"/>
      <c r="WJ6" s="1186"/>
      <c r="WK6" s="1186"/>
      <c r="WL6" s="1186"/>
      <c r="WM6" s="1186"/>
      <c r="WN6" s="1186"/>
      <c r="WO6" s="1186"/>
      <c r="WP6" s="1186"/>
      <c r="WQ6" s="1186"/>
      <c r="WR6" s="1186"/>
      <c r="WS6" s="1186"/>
      <c r="WT6" s="1186"/>
      <c r="WU6" s="1186"/>
      <c r="WV6" s="1186"/>
      <c r="WW6" s="1186"/>
      <c r="WX6" s="1186"/>
      <c r="WY6" s="1186"/>
      <c r="WZ6" s="1186"/>
      <c r="XA6" s="1186"/>
      <c r="XB6" s="1186"/>
      <c r="XC6" s="1186"/>
      <c r="XD6" s="1186"/>
      <c r="XE6" s="1186"/>
      <c r="XF6" s="1186"/>
      <c r="XG6" s="1186"/>
      <c r="XH6" s="1186"/>
      <c r="XI6" s="1186"/>
      <c r="XJ6" s="1186"/>
      <c r="XK6" s="1186"/>
      <c r="XL6" s="1186"/>
      <c r="XM6" s="1186"/>
      <c r="XN6" s="1186"/>
      <c r="XO6" s="1186"/>
      <c r="XP6" s="1186"/>
      <c r="XQ6" s="1186"/>
      <c r="XR6" s="1186"/>
      <c r="XS6" s="1186"/>
      <c r="XT6" s="1186"/>
      <c r="XU6" s="1186"/>
      <c r="XV6" s="1186"/>
      <c r="XW6" s="1186"/>
      <c r="XX6" s="1186"/>
      <c r="XY6" s="1186"/>
      <c r="XZ6" s="1186"/>
      <c r="YA6" s="1186"/>
      <c r="YB6" s="1186"/>
      <c r="YC6" s="1186"/>
      <c r="YD6" s="1186"/>
      <c r="YE6" s="1186"/>
      <c r="YF6" s="1186"/>
      <c r="YG6" s="1186"/>
      <c r="YH6" s="1186"/>
      <c r="YI6" s="1186"/>
      <c r="YJ6" s="1186"/>
      <c r="YK6" s="1186"/>
      <c r="YL6" s="1186"/>
      <c r="YM6" s="1186"/>
      <c r="YN6" s="1186"/>
      <c r="YO6" s="1186"/>
      <c r="YP6" s="1186"/>
      <c r="YQ6" s="1186"/>
      <c r="YR6" s="1186"/>
      <c r="YS6" s="1186"/>
      <c r="YT6" s="1186"/>
      <c r="YU6" s="1186"/>
      <c r="YV6" s="1186"/>
      <c r="YW6" s="1186"/>
      <c r="YX6" s="1186"/>
      <c r="YY6" s="1186"/>
      <c r="YZ6" s="1186"/>
      <c r="ZA6" s="1186"/>
      <c r="ZB6" s="1186"/>
      <c r="ZC6" s="1186"/>
      <c r="ZD6" s="1186"/>
      <c r="ZE6" s="1186"/>
      <c r="ZF6" s="1186"/>
      <c r="ZG6" s="1186"/>
      <c r="ZH6" s="1186"/>
      <c r="ZI6" s="1186"/>
      <c r="ZJ6" s="1186"/>
      <c r="ZK6" s="1186"/>
      <c r="ZL6" s="1186"/>
      <c r="ZM6" s="1186"/>
      <c r="ZN6" s="1186"/>
      <c r="ZO6" s="1186"/>
      <c r="ZP6" s="1186"/>
      <c r="ZQ6" s="1186"/>
      <c r="ZR6" s="1186"/>
      <c r="ZS6" s="1186"/>
      <c r="ZT6" s="1186"/>
      <c r="ZU6" s="1186"/>
      <c r="ZV6" s="1186"/>
      <c r="ZW6" s="1186"/>
      <c r="ZX6" s="1186"/>
      <c r="ZY6" s="1186"/>
      <c r="ZZ6" s="1186"/>
      <c r="AAA6" s="1186"/>
      <c r="AAB6" s="1186"/>
      <c r="AAC6" s="1186"/>
      <c r="AAD6" s="696"/>
      <c r="AAE6" s="696"/>
      <c r="AAF6" s="696"/>
      <c r="AAG6" s="696"/>
      <c r="AAH6" s="696"/>
      <c r="AAI6" s="696"/>
      <c r="AAJ6" s="696"/>
      <c r="AAK6" s="696"/>
      <c r="AAL6" s="696"/>
      <c r="AAM6" s="696"/>
      <c r="AAN6" s="696"/>
      <c r="AAO6" s="696"/>
      <c r="AAP6" s="696"/>
      <c r="AAQ6" s="696"/>
      <c r="AAR6" s="696"/>
      <c r="AAS6" s="696"/>
      <c r="AAT6" s="696"/>
      <c r="AAU6" s="697"/>
      <c r="AAV6" s="694"/>
      <c r="AAW6" s="694"/>
    </row>
    <row r="7" spans="1:725" ht="27" customHeight="1" thickBot="1" x14ac:dyDescent="0.3">
      <c r="A7" s="1452"/>
      <c r="B7" s="1456"/>
      <c r="C7" s="1457"/>
      <c r="D7" s="1448" t="s">
        <v>917</v>
      </c>
      <c r="E7" s="1449"/>
      <c r="F7" s="1449"/>
      <c r="G7" s="1449"/>
      <c r="H7" s="1449"/>
      <c r="I7" s="1449"/>
      <c r="J7" s="1449"/>
      <c r="K7" s="1449"/>
      <c r="L7" s="1449"/>
      <c r="M7" s="1449"/>
      <c r="N7" s="1020"/>
      <c r="O7" s="1020"/>
      <c r="P7" s="1020"/>
      <c r="Q7" s="1020"/>
      <c r="R7" s="1020"/>
      <c r="S7" s="1020"/>
      <c r="T7" s="1020"/>
      <c r="U7" s="1020"/>
      <c r="V7" s="1020"/>
      <c r="W7" s="1020"/>
      <c r="X7" s="1020"/>
      <c r="Y7" s="1020"/>
      <c r="Z7" s="1020"/>
      <c r="AA7" s="1020"/>
      <c r="AB7" s="1020"/>
      <c r="AC7" s="1020"/>
      <c r="AD7" s="1020"/>
      <c r="AE7" s="1020"/>
      <c r="AF7" s="1020"/>
      <c r="AG7" s="1020"/>
      <c r="AH7" s="1020"/>
      <c r="AI7" s="1020"/>
      <c r="AJ7" s="1020"/>
      <c r="AK7" s="1020"/>
      <c r="AL7" s="1020"/>
      <c r="AM7" s="1020"/>
      <c r="AN7" s="695" t="s">
        <v>918</v>
      </c>
      <c r="AO7" s="1186"/>
      <c r="AP7" s="1186"/>
      <c r="AQ7" s="1186"/>
      <c r="AR7" s="1186"/>
      <c r="AS7" s="1186"/>
      <c r="AT7" s="1186"/>
      <c r="AU7" s="1186"/>
      <c r="AV7" s="1186"/>
      <c r="AW7" s="1186"/>
      <c r="AX7" s="1186"/>
      <c r="AY7" s="1186"/>
      <c r="AZ7" s="1186"/>
      <c r="BA7" s="1186"/>
      <c r="BB7" s="1186"/>
      <c r="BC7" s="1186"/>
      <c r="BD7" s="1186"/>
      <c r="BE7" s="1186"/>
      <c r="BF7" s="1186"/>
      <c r="BG7" s="1186"/>
      <c r="BH7" s="1186"/>
      <c r="BI7" s="1186"/>
      <c r="BJ7" s="1186"/>
      <c r="BK7" s="1186"/>
      <c r="BL7" s="1186"/>
      <c r="BM7" s="1186"/>
      <c r="BN7" s="1186"/>
      <c r="BO7" s="1186"/>
      <c r="BP7" s="1186"/>
      <c r="BQ7" s="1186"/>
      <c r="BR7" s="1186"/>
      <c r="BS7" s="1186"/>
      <c r="BT7" s="1186"/>
      <c r="BU7" s="1186"/>
      <c r="BV7" s="1186"/>
      <c r="BW7" s="1186"/>
      <c r="BX7" s="1186"/>
      <c r="BY7" s="1186"/>
      <c r="BZ7" s="1186"/>
      <c r="CA7" s="1186"/>
      <c r="CB7" s="1186"/>
      <c r="CC7" s="1186"/>
      <c r="CD7" s="1186"/>
      <c r="CE7" s="1186"/>
      <c r="CF7" s="1186"/>
      <c r="CG7" s="1186"/>
      <c r="CH7" s="1186"/>
      <c r="CI7" s="1186"/>
      <c r="CJ7" s="1186"/>
      <c r="CK7" s="1186"/>
      <c r="CL7" s="1186"/>
      <c r="CM7" s="1186"/>
      <c r="CN7" s="1186"/>
      <c r="CO7" s="1186"/>
      <c r="CP7" s="1186"/>
      <c r="CQ7" s="1186"/>
      <c r="CR7" s="1186"/>
      <c r="CS7" s="1186"/>
      <c r="CT7" s="1186"/>
      <c r="CU7" s="1186"/>
      <c r="CV7" s="1186"/>
      <c r="CW7" s="1186"/>
      <c r="CX7" s="1186"/>
      <c r="CY7" s="1186"/>
      <c r="CZ7" s="1186"/>
      <c r="DA7" s="1186"/>
      <c r="DB7" s="1186"/>
      <c r="DC7" s="1186"/>
      <c r="DD7" s="1186"/>
      <c r="DE7" s="1186"/>
      <c r="DF7" s="1186"/>
      <c r="DG7" s="1186"/>
      <c r="DH7" s="1186"/>
      <c r="DI7" s="1186"/>
      <c r="DJ7" s="1186"/>
      <c r="DK7" s="1186"/>
      <c r="DL7" s="1186"/>
      <c r="DM7" s="1186"/>
      <c r="DN7" s="1186"/>
      <c r="DO7" s="1186"/>
      <c r="DP7" s="1186"/>
      <c r="DQ7" s="1186"/>
      <c r="DR7" s="1186"/>
      <c r="DS7" s="1186"/>
      <c r="DT7" s="1186"/>
      <c r="DU7" s="1186"/>
      <c r="DV7" s="1186"/>
      <c r="DW7" s="1186"/>
      <c r="DX7" s="1186"/>
      <c r="DY7" s="1186"/>
      <c r="DZ7" s="1186"/>
      <c r="EA7" s="1186"/>
      <c r="EB7" s="1186"/>
      <c r="EC7" s="1186"/>
      <c r="ED7" s="1186"/>
      <c r="EE7" s="1186"/>
      <c r="EF7" s="1186"/>
      <c r="EG7" s="1186"/>
      <c r="EH7" s="1186"/>
      <c r="EI7" s="1186"/>
      <c r="EJ7" s="1186"/>
      <c r="EK7" s="1186"/>
      <c r="EL7" s="1186"/>
      <c r="EM7" s="1186"/>
      <c r="EN7" s="1186"/>
      <c r="EO7" s="1186"/>
      <c r="EP7" s="1186"/>
      <c r="EQ7" s="1186"/>
      <c r="ER7" s="1186"/>
      <c r="ES7" s="1186"/>
      <c r="ET7" s="1186"/>
      <c r="EU7" s="1186"/>
      <c r="EV7" s="1186"/>
      <c r="EW7" s="1186"/>
      <c r="EX7" s="1186"/>
      <c r="EY7" s="1186"/>
      <c r="EZ7" s="1186"/>
      <c r="FA7" s="1186"/>
      <c r="FB7" s="1186"/>
      <c r="FC7" s="1186"/>
      <c r="FD7" s="1186"/>
      <c r="FE7" s="1186"/>
      <c r="FF7" s="1186"/>
      <c r="FG7" s="1186"/>
      <c r="FH7" s="1186"/>
      <c r="FI7" s="1186"/>
      <c r="FJ7" s="1186"/>
      <c r="FK7" s="1186"/>
      <c r="FL7" s="1186"/>
      <c r="FM7" s="1186"/>
      <c r="FN7" s="1186"/>
      <c r="FO7" s="1186"/>
      <c r="FP7" s="1186"/>
      <c r="FQ7" s="1186"/>
      <c r="FR7" s="1186"/>
      <c r="FS7" s="1186"/>
      <c r="FT7" s="1186"/>
      <c r="FU7" s="1186"/>
      <c r="FV7" s="1186"/>
      <c r="FW7" s="1186"/>
      <c r="FX7" s="1186"/>
      <c r="FY7" s="1186"/>
      <c r="FZ7" s="1186"/>
      <c r="GA7" s="1186"/>
      <c r="GB7" s="1186"/>
      <c r="GC7" s="1186"/>
      <c r="GD7" s="1186"/>
      <c r="GE7" s="1186"/>
      <c r="GF7" s="1186"/>
      <c r="GG7" s="1186"/>
      <c r="GH7" s="1186"/>
      <c r="GI7" s="1186"/>
      <c r="GJ7" s="1186"/>
      <c r="GK7" s="1186"/>
      <c r="GL7" s="1186"/>
      <c r="GM7" s="1186"/>
      <c r="GN7" s="1186"/>
      <c r="GO7" s="1186"/>
      <c r="GP7" s="1186"/>
      <c r="GQ7" s="1186"/>
      <c r="GR7" s="1186"/>
      <c r="GS7" s="1186"/>
      <c r="GT7" s="1186"/>
      <c r="GU7" s="1186"/>
      <c r="GV7" s="1186"/>
      <c r="GW7" s="1186"/>
      <c r="GX7" s="1186"/>
      <c r="GY7" s="1186"/>
      <c r="GZ7" s="1186"/>
      <c r="HA7" s="1186"/>
      <c r="HB7" s="1186"/>
      <c r="HC7" s="1186"/>
      <c r="HD7" s="1186"/>
      <c r="HE7" s="1186"/>
      <c r="HF7" s="1186"/>
      <c r="HG7" s="1186"/>
      <c r="HH7" s="1186"/>
      <c r="HI7" s="1186"/>
      <c r="HJ7" s="1186"/>
      <c r="HK7" s="1186"/>
      <c r="HL7" s="1186"/>
      <c r="HM7" s="1186"/>
      <c r="HN7" s="1186"/>
      <c r="HO7" s="1186"/>
      <c r="HP7" s="1186"/>
      <c r="HQ7" s="1186"/>
      <c r="HR7" s="1186"/>
      <c r="HS7" s="1186"/>
      <c r="HT7" s="1186"/>
      <c r="HU7" s="1186"/>
      <c r="HV7" s="1186"/>
      <c r="HW7" s="1186"/>
      <c r="HX7" s="1186"/>
      <c r="HY7" s="1186"/>
      <c r="HZ7" s="1186"/>
      <c r="IA7" s="1186"/>
      <c r="IB7" s="1186"/>
      <c r="IC7" s="1186"/>
      <c r="ID7" s="1186"/>
      <c r="IE7" s="1186"/>
      <c r="IF7" s="1186"/>
      <c r="IG7" s="1186"/>
      <c r="IH7" s="1186"/>
      <c r="II7" s="1186"/>
      <c r="IJ7" s="1186"/>
      <c r="IK7" s="1186"/>
      <c r="IL7" s="1186"/>
      <c r="IM7" s="1186"/>
      <c r="IN7" s="1186"/>
      <c r="IO7" s="1186"/>
      <c r="IP7" s="1186"/>
      <c r="IQ7" s="1186"/>
      <c r="IR7" s="1186"/>
      <c r="IS7" s="1186"/>
      <c r="IT7" s="1186"/>
      <c r="IU7" s="1186"/>
      <c r="IV7" s="1186"/>
      <c r="IW7" s="1186"/>
      <c r="IX7" s="1186"/>
      <c r="IY7" s="1186"/>
      <c r="IZ7" s="1186"/>
      <c r="JA7" s="1186"/>
      <c r="JB7" s="1186"/>
      <c r="JC7" s="1186"/>
      <c r="JD7" s="1186"/>
      <c r="JE7" s="1186"/>
      <c r="JF7" s="1186"/>
      <c r="JG7" s="1186"/>
      <c r="JH7" s="1186"/>
      <c r="JI7" s="1186"/>
      <c r="JJ7" s="1186"/>
      <c r="JK7" s="1186"/>
      <c r="JL7" s="1186"/>
      <c r="JM7" s="1186"/>
      <c r="JN7" s="1186"/>
      <c r="JO7" s="1186"/>
      <c r="JP7" s="1186"/>
      <c r="JQ7" s="1186"/>
      <c r="JR7" s="1186"/>
      <c r="JS7" s="1186"/>
      <c r="JT7" s="1186"/>
      <c r="JU7" s="1186"/>
      <c r="JV7" s="1186"/>
      <c r="JW7" s="1186"/>
      <c r="JX7" s="1186"/>
      <c r="JY7" s="1186"/>
      <c r="JZ7" s="1186"/>
      <c r="KA7" s="1186"/>
      <c r="KB7" s="1186"/>
      <c r="KC7" s="1186"/>
      <c r="KD7" s="1186"/>
      <c r="KE7" s="1186"/>
      <c r="KF7" s="1186"/>
      <c r="KG7" s="1186"/>
      <c r="KH7" s="1186"/>
      <c r="KI7" s="1186"/>
      <c r="KJ7" s="1186"/>
      <c r="KK7" s="1186"/>
      <c r="KL7" s="1186"/>
      <c r="KM7" s="1186"/>
      <c r="KN7" s="1186"/>
      <c r="KO7" s="1186"/>
      <c r="KP7" s="1186"/>
      <c r="KQ7" s="1186"/>
      <c r="KR7" s="1186"/>
      <c r="KS7" s="1186"/>
      <c r="KT7" s="1186"/>
      <c r="KU7" s="1186"/>
      <c r="KV7" s="1186"/>
      <c r="KW7" s="1186"/>
      <c r="KX7" s="1186"/>
      <c r="KY7" s="1186"/>
      <c r="KZ7" s="1186"/>
      <c r="LA7" s="1186"/>
      <c r="LB7" s="1186"/>
      <c r="LC7" s="1186"/>
      <c r="LD7" s="1186"/>
      <c r="LE7" s="1186"/>
      <c r="LF7" s="1186"/>
      <c r="LG7" s="1186"/>
      <c r="LH7" s="1186"/>
      <c r="LI7" s="1186"/>
      <c r="LJ7" s="1186"/>
      <c r="LK7" s="1186"/>
      <c r="LL7" s="1186"/>
      <c r="LM7" s="1186"/>
      <c r="LN7" s="1186"/>
      <c r="LO7" s="1186"/>
      <c r="LP7" s="1186"/>
      <c r="LQ7" s="1186"/>
      <c r="LR7" s="1186"/>
      <c r="LS7" s="1186"/>
      <c r="LT7" s="1186"/>
      <c r="LU7" s="1186"/>
      <c r="LV7" s="1186"/>
      <c r="LW7" s="1186"/>
      <c r="LX7" s="1186"/>
      <c r="LY7" s="1186"/>
      <c r="LZ7" s="1186"/>
      <c r="MA7" s="1186"/>
      <c r="MB7" s="1186"/>
      <c r="MC7" s="1186"/>
      <c r="MD7" s="1186"/>
      <c r="ME7" s="1186"/>
      <c r="MF7" s="1186"/>
      <c r="MG7" s="1186"/>
      <c r="MH7" s="1186"/>
      <c r="MI7" s="1186"/>
      <c r="MJ7" s="1186"/>
      <c r="MK7" s="1186"/>
      <c r="ML7" s="1186"/>
      <c r="MM7" s="1186"/>
      <c r="MN7" s="1186"/>
      <c r="MO7" s="1186"/>
      <c r="MP7" s="1186"/>
      <c r="MQ7" s="1186"/>
      <c r="MR7" s="1186"/>
      <c r="MS7" s="1186"/>
      <c r="MT7" s="1186"/>
      <c r="MU7" s="1186"/>
      <c r="MV7" s="1186"/>
      <c r="MW7" s="1186"/>
      <c r="MX7" s="1186"/>
      <c r="MY7" s="1186"/>
      <c r="MZ7" s="1186"/>
      <c r="NA7" s="1186"/>
      <c r="NB7" s="1186"/>
      <c r="NC7" s="1186"/>
      <c r="ND7" s="1186"/>
      <c r="NE7" s="1186"/>
      <c r="NF7" s="1186"/>
      <c r="NG7" s="1186"/>
      <c r="NH7" s="1186"/>
      <c r="NI7" s="1186"/>
      <c r="NJ7" s="1186"/>
      <c r="NK7" s="1186"/>
      <c r="NL7" s="1186"/>
      <c r="NM7" s="1186"/>
      <c r="NN7" s="1186"/>
      <c r="NO7" s="1186"/>
      <c r="NP7" s="1186"/>
      <c r="NQ7" s="1186"/>
      <c r="NR7" s="1186"/>
      <c r="NS7" s="1186"/>
      <c r="NT7" s="1186"/>
      <c r="NU7" s="1186"/>
      <c r="NV7" s="1186"/>
      <c r="NW7" s="1186"/>
      <c r="NX7" s="1186"/>
      <c r="NY7" s="1186"/>
      <c r="NZ7" s="1186"/>
      <c r="OA7" s="1186"/>
      <c r="OB7" s="1186"/>
      <c r="OC7" s="1186"/>
      <c r="OD7" s="1186"/>
      <c r="OE7" s="1186"/>
      <c r="OF7" s="1186"/>
      <c r="OG7" s="1186"/>
      <c r="OH7" s="1186"/>
      <c r="OI7" s="1186"/>
      <c r="OJ7" s="1186"/>
      <c r="OK7" s="1186"/>
      <c r="OL7" s="1186"/>
      <c r="OM7" s="1186"/>
      <c r="ON7" s="1186"/>
      <c r="OO7" s="1186"/>
      <c r="OP7" s="1186"/>
      <c r="OQ7" s="1186"/>
      <c r="OR7" s="1186"/>
      <c r="OS7" s="1186"/>
      <c r="OT7" s="1186"/>
      <c r="OU7" s="1186"/>
      <c r="OV7" s="1186"/>
      <c r="OW7" s="1186"/>
      <c r="OX7" s="1186"/>
      <c r="OY7" s="1186"/>
      <c r="OZ7" s="1186"/>
      <c r="PA7" s="1186"/>
      <c r="PB7" s="1186"/>
      <c r="PC7" s="1186"/>
      <c r="PD7" s="1186"/>
      <c r="PE7" s="1186"/>
      <c r="PF7" s="1186"/>
      <c r="PG7" s="1186"/>
      <c r="PH7" s="1186"/>
      <c r="PI7" s="1186"/>
      <c r="PJ7" s="1186"/>
      <c r="PK7" s="1186"/>
      <c r="PL7" s="1186"/>
      <c r="PM7" s="1186"/>
      <c r="PN7" s="1186"/>
      <c r="PO7" s="1186"/>
      <c r="PP7" s="1186"/>
      <c r="PQ7" s="1186"/>
      <c r="PR7" s="1186"/>
      <c r="PS7" s="1186"/>
      <c r="PT7" s="1186"/>
      <c r="PU7" s="1186"/>
      <c r="PV7" s="1186"/>
      <c r="PW7" s="1186"/>
      <c r="PX7" s="1186"/>
      <c r="PY7" s="1186"/>
      <c r="PZ7" s="1186"/>
      <c r="QA7" s="1186"/>
      <c r="QB7" s="1186"/>
      <c r="QC7" s="1186"/>
      <c r="QD7" s="1186"/>
      <c r="QE7" s="1186"/>
      <c r="QF7" s="1186"/>
      <c r="QG7" s="1186"/>
      <c r="QH7" s="1186"/>
      <c r="QI7" s="1186"/>
      <c r="QJ7" s="1186"/>
      <c r="QK7" s="1186"/>
      <c r="QL7" s="1186"/>
      <c r="QM7" s="1186"/>
      <c r="QN7" s="1186"/>
      <c r="QO7" s="1186"/>
      <c r="QP7" s="1186"/>
      <c r="QQ7" s="1186"/>
      <c r="QR7" s="1186"/>
      <c r="QS7" s="1186"/>
      <c r="QT7" s="1186"/>
      <c r="QU7" s="1186"/>
      <c r="QV7" s="1186"/>
      <c r="QW7" s="1186"/>
      <c r="QX7" s="1186"/>
      <c r="QY7" s="1186"/>
      <c r="QZ7" s="1186"/>
      <c r="RA7" s="1186"/>
      <c r="RB7" s="1186"/>
      <c r="RC7" s="1186"/>
      <c r="RD7" s="1186"/>
      <c r="RE7" s="1186"/>
      <c r="RF7" s="1186"/>
      <c r="RG7" s="1186"/>
      <c r="RH7" s="1186"/>
      <c r="RI7" s="1186"/>
      <c r="RJ7" s="1186"/>
      <c r="RK7" s="1186"/>
      <c r="RL7" s="1186"/>
      <c r="RM7" s="1186"/>
      <c r="RN7" s="1186"/>
      <c r="RO7" s="1186"/>
      <c r="RP7" s="1186"/>
      <c r="RQ7" s="1186"/>
      <c r="RR7" s="1186"/>
      <c r="RS7" s="1186"/>
      <c r="RT7" s="1186"/>
      <c r="RU7" s="1186"/>
      <c r="RV7" s="1186"/>
      <c r="RW7" s="1186"/>
      <c r="RX7" s="1186"/>
      <c r="RY7" s="1186"/>
      <c r="RZ7" s="1186"/>
      <c r="SA7" s="1186"/>
      <c r="SB7" s="1186"/>
      <c r="SC7" s="1186"/>
      <c r="SD7" s="1186"/>
      <c r="SE7" s="1186"/>
      <c r="SF7" s="1186"/>
      <c r="SG7" s="1186"/>
      <c r="SH7" s="1186"/>
      <c r="SI7" s="1186"/>
      <c r="SJ7" s="1186"/>
      <c r="SK7" s="1186"/>
      <c r="SL7" s="1186"/>
      <c r="SM7" s="1186"/>
      <c r="SN7" s="1186"/>
      <c r="SO7" s="1186"/>
      <c r="SP7" s="1186"/>
      <c r="SQ7" s="1186"/>
      <c r="SR7" s="1186"/>
      <c r="SS7" s="1186"/>
      <c r="ST7" s="1186"/>
      <c r="SU7" s="1186"/>
      <c r="SV7" s="1186"/>
      <c r="SW7" s="1186"/>
      <c r="SX7" s="1186"/>
      <c r="SY7" s="1186"/>
      <c r="SZ7" s="1186"/>
      <c r="TA7" s="1186"/>
      <c r="TB7" s="1186"/>
      <c r="TC7" s="1186"/>
      <c r="TD7" s="1186"/>
      <c r="TE7" s="1186"/>
      <c r="TF7" s="1186"/>
      <c r="TG7" s="1186"/>
      <c r="TH7" s="1186"/>
      <c r="TI7" s="1186"/>
      <c r="TJ7" s="1186"/>
      <c r="TK7" s="1186"/>
      <c r="TL7" s="1186"/>
      <c r="TM7" s="1186"/>
      <c r="TN7" s="1186"/>
      <c r="TO7" s="1186"/>
      <c r="TP7" s="1186"/>
      <c r="TQ7" s="1186"/>
      <c r="TR7" s="1186"/>
      <c r="TS7" s="1186"/>
      <c r="TT7" s="1186"/>
      <c r="TU7" s="1186"/>
      <c r="TV7" s="1186"/>
      <c r="TW7" s="1186"/>
      <c r="TX7" s="1186"/>
      <c r="TY7" s="1186"/>
      <c r="TZ7" s="1186"/>
      <c r="UA7" s="1186"/>
      <c r="UB7" s="1186"/>
      <c r="UC7" s="1186"/>
      <c r="UD7" s="1186"/>
      <c r="UE7" s="1186"/>
      <c r="UF7" s="1186"/>
      <c r="UG7" s="1186"/>
      <c r="UH7" s="1186"/>
      <c r="UI7" s="1186"/>
      <c r="UJ7" s="1186"/>
      <c r="UK7" s="1186"/>
      <c r="UL7" s="1186"/>
      <c r="UM7" s="1186"/>
      <c r="UN7" s="1186"/>
      <c r="UO7" s="1186"/>
      <c r="UP7" s="1186"/>
      <c r="UQ7" s="1186"/>
      <c r="UR7" s="1186"/>
      <c r="US7" s="1186"/>
      <c r="UT7" s="1186"/>
      <c r="UU7" s="1186"/>
      <c r="UV7" s="1186"/>
      <c r="UW7" s="1186"/>
      <c r="UX7" s="1186"/>
      <c r="UY7" s="1186"/>
      <c r="UZ7" s="1186"/>
      <c r="VA7" s="1186"/>
      <c r="VB7" s="1186"/>
      <c r="VC7" s="1186"/>
      <c r="VD7" s="1186"/>
      <c r="VE7" s="1186"/>
      <c r="VF7" s="1186"/>
      <c r="VG7" s="1186"/>
      <c r="VH7" s="1186"/>
      <c r="VI7" s="1198"/>
      <c r="VJ7" s="1448" t="s">
        <v>919</v>
      </c>
      <c r="VK7" s="1449"/>
      <c r="VL7" s="1449"/>
      <c r="VM7" s="1449"/>
      <c r="VN7" s="1449"/>
      <c r="VO7" s="1449"/>
      <c r="VP7" s="1449"/>
      <c r="VQ7" s="1449"/>
      <c r="VR7" s="1449"/>
      <c r="VS7" s="1449"/>
      <c r="VT7" s="1449"/>
      <c r="VU7" s="1449"/>
      <c r="VV7" s="1020"/>
      <c r="VW7" s="1020"/>
      <c r="VX7" s="1020"/>
      <c r="VY7" s="1020"/>
      <c r="VZ7" s="1020"/>
      <c r="WA7" s="1020"/>
      <c r="WB7" s="1020"/>
      <c r="WC7" s="1020"/>
      <c r="WD7" s="1020"/>
      <c r="WE7" s="1020"/>
      <c r="WF7" s="1020"/>
      <c r="WG7" s="1020"/>
      <c r="WH7" s="1020"/>
      <c r="WI7" s="1020"/>
      <c r="WJ7" s="1020"/>
      <c r="WK7" s="1020"/>
      <c r="WL7" s="1020"/>
      <c r="WM7" s="1020"/>
      <c r="WN7" s="1020"/>
      <c r="WO7" s="1020"/>
      <c r="WP7" s="1020"/>
      <c r="WQ7" s="1020"/>
      <c r="WR7" s="1518" t="s">
        <v>920</v>
      </c>
      <c r="WS7" s="1519"/>
      <c r="WT7" s="1519"/>
      <c r="WU7" s="1519"/>
      <c r="WV7" s="1519"/>
      <c r="WW7" s="1519"/>
      <c r="WX7" s="1519"/>
      <c r="WY7" s="1519"/>
      <c r="WZ7" s="1519"/>
      <c r="XA7" s="1519"/>
      <c r="XB7" s="1519"/>
      <c r="XC7" s="1519"/>
      <c r="XD7" s="1186"/>
      <c r="XE7" s="1186"/>
      <c r="XF7" s="1186"/>
      <c r="XG7" s="1186"/>
      <c r="XH7" s="1186"/>
      <c r="XI7" s="1186"/>
      <c r="XJ7" s="1186"/>
      <c r="XK7" s="1186"/>
      <c r="XL7" s="1186"/>
      <c r="XM7" s="1186"/>
      <c r="XN7" s="1186"/>
      <c r="XO7" s="1186"/>
      <c r="XP7" s="1186"/>
      <c r="XQ7" s="1186"/>
      <c r="XR7" s="1186"/>
      <c r="XS7" s="1186"/>
      <c r="XT7" s="1186"/>
      <c r="XU7" s="1186"/>
      <c r="XV7" s="1186"/>
      <c r="XW7" s="1186"/>
      <c r="XX7" s="1186"/>
      <c r="XY7" s="1186"/>
      <c r="XZ7" s="1186"/>
      <c r="YA7" s="1186"/>
      <c r="YB7" s="1186"/>
      <c r="YC7" s="1186"/>
      <c r="YD7" s="1186"/>
      <c r="YE7" s="1186"/>
      <c r="YF7" s="1186"/>
      <c r="YG7" s="1186"/>
      <c r="YH7" s="1186"/>
      <c r="YI7" s="1186"/>
      <c r="YJ7" s="1186"/>
      <c r="YK7" s="1186"/>
      <c r="YL7" s="1186"/>
      <c r="YM7" s="1186"/>
      <c r="YN7" s="1186"/>
      <c r="YO7" s="1186"/>
      <c r="YP7" s="1186"/>
      <c r="YQ7" s="1186"/>
      <c r="YR7" s="1186"/>
      <c r="YS7" s="1186"/>
      <c r="YT7" s="1186"/>
      <c r="YU7" s="1186"/>
      <c r="YV7" s="1186"/>
      <c r="YW7" s="1186"/>
      <c r="YX7" s="1186"/>
      <c r="YY7" s="1186"/>
      <c r="YZ7" s="1186"/>
      <c r="ZA7" s="1186"/>
      <c r="ZB7" s="1186"/>
      <c r="ZC7" s="1186"/>
      <c r="ZD7" s="1186"/>
      <c r="ZE7" s="1186"/>
      <c r="ZF7" s="1186"/>
      <c r="ZG7" s="1186"/>
      <c r="ZH7" s="1186"/>
      <c r="ZI7" s="1186"/>
      <c r="ZJ7" s="1186"/>
      <c r="ZK7" s="1186"/>
      <c r="ZL7" s="1186"/>
      <c r="ZM7" s="1186"/>
      <c r="ZN7" s="1186"/>
      <c r="ZO7" s="1186"/>
      <c r="ZP7" s="1186"/>
      <c r="ZQ7" s="1186"/>
      <c r="ZR7" s="1186"/>
      <c r="ZS7" s="1186"/>
      <c r="ZT7" s="1186"/>
      <c r="ZU7" s="1186"/>
      <c r="ZV7" s="1186"/>
      <c r="ZW7" s="1186"/>
      <c r="ZX7" s="1186"/>
      <c r="ZY7" s="1186"/>
      <c r="ZZ7" s="1186"/>
      <c r="AAA7" s="1186"/>
      <c r="AAB7" s="1186"/>
      <c r="AAC7" s="1186"/>
      <c r="AAD7" s="1451" t="s">
        <v>264</v>
      </c>
      <c r="AAE7" s="1451" t="s">
        <v>268</v>
      </c>
      <c r="AAF7" s="1508" t="s">
        <v>921</v>
      </c>
      <c r="AAG7" s="1509"/>
      <c r="AAH7" s="1509"/>
      <c r="AAI7" s="1509"/>
      <c r="AAJ7" s="1509"/>
      <c r="AAK7" s="1509"/>
      <c r="AAL7" s="1509"/>
      <c r="AAM7" s="1510"/>
      <c r="AAN7" s="1514" t="s">
        <v>922</v>
      </c>
      <c r="AAO7" s="1515"/>
      <c r="AAP7" s="1515"/>
      <c r="AAQ7" s="1515"/>
      <c r="AAR7" s="1515"/>
      <c r="AAS7" s="1515"/>
      <c r="AAT7" s="1515"/>
      <c r="AAU7" s="1516"/>
      <c r="AAV7" s="694"/>
      <c r="AAW7" s="694"/>
    </row>
    <row r="8" spans="1:725" ht="26.25" customHeight="1" thickBot="1" x14ac:dyDescent="0.3">
      <c r="A8" s="1452"/>
      <c r="B8" s="1458"/>
      <c r="C8" s="1459"/>
      <c r="D8" s="1451" t="s">
        <v>264</v>
      </c>
      <c r="E8" s="1451" t="s">
        <v>268</v>
      </c>
      <c r="F8" s="1499" t="s">
        <v>923</v>
      </c>
      <c r="G8" s="1507"/>
      <c r="H8" s="1507"/>
      <c r="I8" s="1507"/>
      <c r="J8" s="1507"/>
      <c r="K8" s="1507"/>
      <c r="L8" s="1507"/>
      <c r="M8" s="1517"/>
      <c r="N8" s="1499" t="s">
        <v>924</v>
      </c>
      <c r="O8" s="1507"/>
      <c r="P8" s="1507"/>
      <c r="Q8" s="1507"/>
      <c r="R8" s="1507"/>
      <c r="S8" s="1507"/>
      <c r="T8" s="1507"/>
      <c r="U8" s="1507"/>
      <c r="V8" s="1499" t="s">
        <v>925</v>
      </c>
      <c r="W8" s="1507"/>
      <c r="X8" s="1507"/>
      <c r="Y8" s="1507"/>
      <c r="Z8" s="1507"/>
      <c r="AA8" s="1507"/>
      <c r="AB8" s="1507"/>
      <c r="AC8" s="1507"/>
      <c r="AD8" s="1507"/>
      <c r="AE8" s="1507"/>
      <c r="AF8" s="1507"/>
      <c r="AG8" s="1507"/>
      <c r="AH8" s="1507"/>
      <c r="AI8" s="1507"/>
      <c r="AJ8" s="1507"/>
      <c r="AK8" s="1507"/>
      <c r="AL8" s="1507"/>
      <c r="AM8" s="1517"/>
      <c r="AN8" s="1452" t="s">
        <v>264</v>
      </c>
      <c r="AO8" s="1452" t="s">
        <v>268</v>
      </c>
      <c r="AP8" s="1448" t="s">
        <v>926</v>
      </c>
      <c r="AQ8" s="1449"/>
      <c r="AR8" s="1449"/>
      <c r="AS8" s="1449"/>
      <c r="AT8" s="1449"/>
      <c r="AU8" s="1449"/>
      <c r="AV8" s="1449"/>
      <c r="AW8" s="1449"/>
      <c r="AX8" s="1449"/>
      <c r="AY8" s="1449"/>
      <c r="AZ8" s="1449"/>
      <c r="BA8" s="1449"/>
      <c r="BB8" s="1449"/>
      <c r="BC8" s="1449"/>
      <c r="BD8" s="1449"/>
      <c r="BE8" s="1449"/>
      <c r="BF8" s="1449"/>
      <c r="BG8" s="1449"/>
      <c r="BH8" s="1448" t="s">
        <v>927</v>
      </c>
      <c r="BI8" s="1449"/>
      <c r="BJ8" s="1449"/>
      <c r="BK8" s="1449"/>
      <c r="BL8" s="1449"/>
      <c r="BM8" s="1449"/>
      <c r="BN8" s="1449"/>
      <c r="BO8" s="1449"/>
      <c r="BP8" s="1449"/>
      <c r="BQ8" s="1449"/>
      <c r="BR8" s="1449"/>
      <c r="BS8" s="1450"/>
      <c r="BT8" s="1448" t="s">
        <v>269</v>
      </c>
      <c r="BU8" s="1449"/>
      <c r="BV8" s="1449"/>
      <c r="BW8" s="1449"/>
      <c r="BX8" s="1449"/>
      <c r="BY8" s="1449"/>
      <c r="BZ8" s="1449"/>
      <c r="CA8" s="1450"/>
      <c r="CB8" s="1448" t="s">
        <v>928</v>
      </c>
      <c r="CC8" s="1449"/>
      <c r="CD8" s="1449"/>
      <c r="CE8" s="1449"/>
      <c r="CF8" s="1449"/>
      <c r="CG8" s="1450"/>
      <c r="CH8" s="1448" t="s">
        <v>929</v>
      </c>
      <c r="CI8" s="1449"/>
      <c r="CJ8" s="1449"/>
      <c r="CK8" s="1449"/>
      <c r="CL8" s="1449"/>
      <c r="CM8" s="1449"/>
      <c r="CN8" s="1449"/>
      <c r="CO8" s="1450"/>
      <c r="CP8" s="1448" t="s">
        <v>930</v>
      </c>
      <c r="CQ8" s="1449"/>
      <c r="CR8" s="1449"/>
      <c r="CS8" s="1449"/>
      <c r="CT8" s="1449"/>
      <c r="CU8" s="1450"/>
      <c r="CV8" s="1448" t="s">
        <v>271</v>
      </c>
      <c r="CW8" s="1449"/>
      <c r="CX8" s="1449"/>
      <c r="CY8" s="1449"/>
      <c r="CZ8" s="1449"/>
      <c r="DA8" s="1449"/>
      <c r="DB8" s="1449"/>
      <c r="DC8" s="1449"/>
      <c r="DD8" s="1449"/>
      <c r="DE8" s="1449"/>
      <c r="DF8" s="1449"/>
      <c r="DG8" s="1449"/>
      <c r="DH8" s="1449"/>
      <c r="DI8" s="1449"/>
      <c r="DJ8" s="1449"/>
      <c r="DK8" s="1449"/>
      <c r="DL8" s="1449"/>
      <c r="DM8" s="1449"/>
      <c r="DN8" s="1449"/>
      <c r="DO8" s="1449"/>
      <c r="DP8" s="1449"/>
      <c r="DQ8" s="1449"/>
      <c r="DR8" s="1449"/>
      <c r="DS8" s="1449"/>
      <c r="DT8" s="1448" t="s">
        <v>931</v>
      </c>
      <c r="DU8" s="1449"/>
      <c r="DV8" s="1449"/>
      <c r="DW8" s="1449"/>
      <c r="DX8" s="1449"/>
      <c r="DY8" s="1449"/>
      <c r="DZ8" s="1449"/>
      <c r="EA8" s="1450"/>
      <c r="EB8" s="1448" t="s">
        <v>272</v>
      </c>
      <c r="EC8" s="1449"/>
      <c r="ED8" s="1449"/>
      <c r="EE8" s="1449"/>
      <c r="EF8" s="1449"/>
      <c r="EG8" s="1450"/>
      <c r="EH8" s="1520" t="s">
        <v>273</v>
      </c>
      <c r="EI8" s="1521"/>
      <c r="EJ8" s="1521"/>
      <c r="EK8" s="1521"/>
      <c r="EL8" s="1521"/>
      <c r="EM8" s="1521"/>
      <c r="EN8" s="1448" t="s">
        <v>274</v>
      </c>
      <c r="EO8" s="1449"/>
      <c r="EP8" s="1449"/>
      <c r="EQ8" s="1449"/>
      <c r="ER8" s="1449"/>
      <c r="ES8" s="1449"/>
      <c r="ET8" s="1449"/>
      <c r="EU8" s="1450"/>
      <c r="EV8" s="1448" t="s">
        <v>932</v>
      </c>
      <c r="EW8" s="1449"/>
      <c r="EX8" s="1449"/>
      <c r="EY8" s="1449"/>
      <c r="EZ8" s="1449"/>
      <c r="FA8" s="1450"/>
      <c r="FB8" s="1448" t="s">
        <v>933</v>
      </c>
      <c r="FC8" s="1449"/>
      <c r="FD8" s="1449"/>
      <c r="FE8" s="1449"/>
      <c r="FF8" s="1449"/>
      <c r="FG8" s="1449"/>
      <c r="FH8" s="1449"/>
      <c r="FI8" s="1449"/>
      <c r="FJ8" s="1449"/>
      <c r="FK8" s="1449"/>
      <c r="FL8" s="1449"/>
      <c r="FM8" s="1449"/>
      <c r="FN8" s="1449"/>
      <c r="FO8" s="1449"/>
      <c r="FP8" s="1449"/>
      <c r="FQ8" s="1449"/>
      <c r="FR8" s="1449"/>
      <c r="FS8" s="1449"/>
      <c r="FT8" s="1449"/>
      <c r="FU8" s="1449"/>
      <c r="FV8" s="1449"/>
      <c r="FW8" s="1449"/>
      <c r="FX8" s="1449"/>
      <c r="FY8" s="1450"/>
      <c r="FZ8" s="1448" t="s">
        <v>277</v>
      </c>
      <c r="GA8" s="1449"/>
      <c r="GB8" s="1449"/>
      <c r="GC8" s="1449"/>
      <c r="GD8" s="1449"/>
      <c r="GE8" s="1450"/>
      <c r="GF8" s="1448" t="s">
        <v>278</v>
      </c>
      <c r="GG8" s="1449"/>
      <c r="GH8" s="1449"/>
      <c r="GI8" s="1449"/>
      <c r="GJ8" s="1449"/>
      <c r="GK8" s="1449"/>
      <c r="GL8" s="1449"/>
      <c r="GM8" s="1449"/>
      <c r="GN8" s="1449"/>
      <c r="GO8" s="1449"/>
      <c r="GP8" s="1449"/>
      <c r="GQ8" s="1449"/>
      <c r="GR8" s="1449"/>
      <c r="GS8" s="1449"/>
      <c r="GT8" s="1449"/>
      <c r="GU8" s="1450"/>
      <c r="GV8" s="1448" t="s">
        <v>279</v>
      </c>
      <c r="GW8" s="1449"/>
      <c r="GX8" s="1449"/>
      <c r="GY8" s="1449"/>
      <c r="GZ8" s="1449"/>
      <c r="HA8" s="1449"/>
      <c r="HB8" s="1449"/>
      <c r="HC8" s="1449"/>
      <c r="HD8" s="1449"/>
      <c r="HE8" s="1449"/>
      <c r="HF8" s="1449"/>
      <c r="HG8" s="1449"/>
      <c r="HH8" s="1449"/>
      <c r="HI8" s="1449"/>
      <c r="HJ8" s="1449"/>
      <c r="HK8" s="1450"/>
      <c r="HL8" s="1448" t="s">
        <v>934</v>
      </c>
      <c r="HM8" s="1449"/>
      <c r="HN8" s="1449"/>
      <c r="HO8" s="1449"/>
      <c r="HP8" s="1449"/>
      <c r="HQ8" s="1450"/>
      <c r="HR8" s="1448" t="s">
        <v>280</v>
      </c>
      <c r="HS8" s="1449"/>
      <c r="HT8" s="1449"/>
      <c r="HU8" s="1449"/>
      <c r="HV8" s="1449"/>
      <c r="HW8" s="1449"/>
      <c r="HX8" s="1449"/>
      <c r="HY8" s="1449"/>
      <c r="HZ8" s="1449"/>
      <c r="IA8" s="1449"/>
      <c r="IB8" s="1449"/>
      <c r="IC8" s="1449"/>
      <c r="ID8" s="1449"/>
      <c r="IE8" s="1449"/>
      <c r="IF8" s="1449"/>
      <c r="IG8" s="1449"/>
      <c r="IH8" s="1449"/>
      <c r="II8" s="1449"/>
      <c r="IJ8" s="1449"/>
      <c r="IK8" s="1449"/>
      <c r="IL8" s="1449"/>
      <c r="IM8" s="1449"/>
      <c r="IN8" s="1449"/>
      <c r="IO8" s="1450"/>
      <c r="IP8" s="1448" t="s">
        <v>281</v>
      </c>
      <c r="IQ8" s="1449"/>
      <c r="IR8" s="1449"/>
      <c r="IS8" s="1449"/>
      <c r="IT8" s="1449"/>
      <c r="IU8" s="1449"/>
      <c r="IV8" s="1449"/>
      <c r="IW8" s="1449"/>
      <c r="IX8" s="1449"/>
      <c r="IY8" s="1449"/>
      <c r="IZ8" s="1449"/>
      <c r="JA8" s="1449"/>
      <c r="JB8" s="1449"/>
      <c r="JC8" s="1449"/>
      <c r="JD8" s="1449"/>
      <c r="JE8" s="1450"/>
      <c r="JF8" s="1448" t="s">
        <v>282</v>
      </c>
      <c r="JG8" s="1449"/>
      <c r="JH8" s="1449"/>
      <c r="JI8" s="1449"/>
      <c r="JJ8" s="1449"/>
      <c r="JK8" s="1449"/>
      <c r="JL8" s="1448" t="s">
        <v>935</v>
      </c>
      <c r="JM8" s="1449"/>
      <c r="JN8" s="1449"/>
      <c r="JO8" s="1449"/>
      <c r="JP8" s="1449"/>
      <c r="JQ8" s="1449"/>
      <c r="JR8" s="1448" t="s">
        <v>936</v>
      </c>
      <c r="JS8" s="1449"/>
      <c r="JT8" s="1449"/>
      <c r="JU8" s="1449"/>
      <c r="JV8" s="1449"/>
      <c r="JW8" s="1449"/>
      <c r="JX8" s="1449"/>
      <c r="JY8" s="1449"/>
      <c r="JZ8" s="1449"/>
      <c r="KA8" s="1449"/>
      <c r="KB8" s="1449"/>
      <c r="KC8" s="1449"/>
      <c r="KD8" s="1449"/>
      <c r="KE8" s="1449"/>
      <c r="KF8" s="1449"/>
      <c r="KG8" s="1449"/>
      <c r="KH8" s="1449"/>
      <c r="KI8" s="1449"/>
      <c r="KJ8" s="1449"/>
      <c r="KK8" s="1449"/>
      <c r="KL8" s="1449"/>
      <c r="KM8" s="1449"/>
      <c r="KN8" s="1449"/>
      <c r="KO8" s="1450"/>
      <c r="KP8" s="1448" t="s">
        <v>285</v>
      </c>
      <c r="KQ8" s="1449"/>
      <c r="KR8" s="1449"/>
      <c r="KS8" s="1449"/>
      <c r="KT8" s="1449"/>
      <c r="KU8" s="1449"/>
      <c r="KV8" s="1449"/>
      <c r="KW8" s="1449"/>
      <c r="KX8" s="1449"/>
      <c r="KY8" s="1449"/>
      <c r="KZ8" s="1449"/>
      <c r="LA8" s="1449"/>
      <c r="LB8" s="1449"/>
      <c r="LC8" s="1449"/>
      <c r="LD8" s="1449"/>
      <c r="LE8" s="1449"/>
      <c r="LF8" s="1449"/>
      <c r="LG8" s="1449"/>
      <c r="LH8" s="1449"/>
      <c r="LI8" s="1449"/>
      <c r="LJ8" s="1449"/>
      <c r="LK8" s="1449"/>
      <c r="LL8" s="1449"/>
      <c r="LM8" s="1449"/>
      <c r="LN8" s="1449"/>
      <c r="LO8" s="1449"/>
      <c r="LP8" s="1449"/>
      <c r="LQ8" s="1449"/>
      <c r="LR8" s="1449"/>
      <c r="LS8" s="1449"/>
      <c r="LT8" s="1449"/>
      <c r="LU8" s="1449"/>
      <c r="LV8" s="1448" t="s">
        <v>286</v>
      </c>
      <c r="LW8" s="1449"/>
      <c r="LX8" s="1449"/>
      <c r="LY8" s="1449"/>
      <c r="LZ8" s="1449"/>
      <c r="MA8" s="1449"/>
      <c r="MB8" s="1449"/>
      <c r="MC8" s="1449"/>
      <c r="MD8" s="1449"/>
      <c r="ME8" s="1449"/>
      <c r="MF8" s="1449"/>
      <c r="MG8" s="1449"/>
      <c r="MH8" s="1449"/>
      <c r="MI8" s="1449"/>
      <c r="MJ8" s="1449"/>
      <c r="MK8" s="1449"/>
      <c r="ML8" s="1449"/>
      <c r="MM8" s="1449"/>
      <c r="MN8" s="1449"/>
      <c r="MO8" s="1449"/>
      <c r="MP8" s="1449"/>
      <c r="MQ8" s="1449"/>
      <c r="MR8" s="1449"/>
      <c r="MS8" s="1449"/>
      <c r="MT8" s="1449"/>
      <c r="MU8" s="1449"/>
      <c r="MV8" s="1449"/>
      <c r="MW8" s="1449"/>
      <c r="MX8" s="1449"/>
      <c r="MY8" s="1449"/>
      <c r="MZ8" s="1449"/>
      <c r="NA8" s="1450"/>
      <c r="NB8" s="1448" t="s">
        <v>287</v>
      </c>
      <c r="NC8" s="1449"/>
      <c r="ND8" s="1449"/>
      <c r="NE8" s="1449"/>
      <c r="NF8" s="1449"/>
      <c r="NG8" s="1449"/>
      <c r="NH8" s="1449"/>
      <c r="NI8" s="1449"/>
      <c r="NJ8" s="1449"/>
      <c r="NK8" s="1449"/>
      <c r="NL8" s="1449"/>
      <c r="NM8" s="1449"/>
      <c r="NN8" s="1449"/>
      <c r="NO8" s="1449"/>
      <c r="NP8" s="1449"/>
      <c r="NQ8" s="1449"/>
      <c r="NR8" s="1449"/>
      <c r="NS8" s="1449"/>
      <c r="NT8" s="1449"/>
      <c r="NU8" s="1449"/>
      <c r="NV8" s="1449"/>
      <c r="NW8" s="1449"/>
      <c r="NX8" s="1449"/>
      <c r="NY8" s="1449"/>
      <c r="NZ8" s="1449"/>
      <c r="OA8" s="1449"/>
      <c r="OB8" s="1449"/>
      <c r="OC8" s="1449"/>
      <c r="OD8" s="1449"/>
      <c r="OE8" s="1449"/>
      <c r="OF8" s="1449"/>
      <c r="OG8" s="1449"/>
      <c r="OH8" s="1449"/>
      <c r="OI8" s="1449"/>
      <c r="OJ8" s="1448" t="s">
        <v>288</v>
      </c>
      <c r="OK8" s="1449"/>
      <c r="OL8" s="1449"/>
      <c r="OM8" s="1449"/>
      <c r="ON8" s="1449"/>
      <c r="OO8" s="1449"/>
      <c r="OP8" s="1449"/>
      <c r="OQ8" s="1450"/>
      <c r="OR8" s="1448" t="s">
        <v>937</v>
      </c>
      <c r="OS8" s="1449"/>
      <c r="OT8" s="1449"/>
      <c r="OU8" s="1449"/>
      <c r="OV8" s="1449"/>
      <c r="OW8" s="1449"/>
      <c r="OX8" s="1449"/>
      <c r="OY8" s="1449"/>
      <c r="OZ8" s="1449"/>
      <c r="PA8" s="1449"/>
      <c r="PB8" s="1449"/>
      <c r="PC8" s="1449"/>
      <c r="PD8" s="1449"/>
      <c r="PE8" s="1449"/>
      <c r="PF8" s="1449"/>
      <c r="PG8" s="1449"/>
      <c r="PH8" s="1449"/>
      <c r="PI8" s="1449"/>
      <c r="PJ8" s="1449"/>
      <c r="PK8" s="1449"/>
      <c r="PL8" s="1449"/>
      <c r="PM8" s="1449"/>
      <c r="PN8" s="1449"/>
      <c r="PO8" s="1449"/>
      <c r="PP8" s="1449"/>
      <c r="PQ8" s="1449"/>
      <c r="PR8" s="1449"/>
      <c r="PS8" s="1449"/>
      <c r="PT8" s="1449"/>
      <c r="PU8" s="1449"/>
      <c r="PV8" s="1449"/>
      <c r="PW8" s="1450"/>
      <c r="PX8" s="1448" t="s">
        <v>290</v>
      </c>
      <c r="PY8" s="1449"/>
      <c r="PZ8" s="1449"/>
      <c r="QA8" s="1449"/>
      <c r="QB8" s="1449"/>
      <c r="QC8" s="1449"/>
      <c r="QD8" s="1449"/>
      <c r="QE8" s="1449"/>
      <c r="QF8" s="1449"/>
      <c r="QG8" s="1449"/>
      <c r="QH8" s="1449"/>
      <c r="QI8" s="1449"/>
      <c r="QJ8" s="1449"/>
      <c r="QK8" s="1449"/>
      <c r="QL8" s="1449"/>
      <c r="QM8" s="1449"/>
      <c r="QN8" s="1449"/>
      <c r="QO8" s="1449"/>
      <c r="QP8" s="1449"/>
      <c r="QQ8" s="1449"/>
      <c r="QR8" s="1449"/>
      <c r="QS8" s="1449"/>
      <c r="QT8" s="1449"/>
      <c r="QU8" s="1449"/>
      <c r="QV8" s="1449"/>
      <c r="QW8" s="1449"/>
      <c r="QX8" s="1449"/>
      <c r="QY8" s="1450"/>
      <c r="QZ8" s="1448" t="s">
        <v>291</v>
      </c>
      <c r="RA8" s="1449"/>
      <c r="RB8" s="1449"/>
      <c r="RC8" s="1449"/>
      <c r="RD8" s="1449"/>
      <c r="RE8" s="1449"/>
      <c r="RF8" s="1448" t="s">
        <v>292</v>
      </c>
      <c r="RG8" s="1449"/>
      <c r="RH8" s="1449"/>
      <c r="RI8" s="1449"/>
      <c r="RJ8" s="1449"/>
      <c r="RK8" s="1449"/>
      <c r="RL8" s="1449"/>
      <c r="RM8" s="1449"/>
      <c r="RN8" s="1449"/>
      <c r="RO8" s="1449"/>
      <c r="RP8" s="1449"/>
      <c r="RQ8" s="1449"/>
      <c r="RR8" s="1449"/>
      <c r="RS8" s="1449"/>
      <c r="RT8" s="1449"/>
      <c r="RU8" s="1449"/>
      <c r="RV8" s="1449"/>
      <c r="RW8" s="1449"/>
      <c r="RX8" s="1449"/>
      <c r="RY8" s="1449"/>
      <c r="RZ8" s="1449"/>
      <c r="SA8" s="1449"/>
      <c r="SB8" s="1449"/>
      <c r="SC8" s="1450"/>
      <c r="SD8" s="1448" t="s">
        <v>738</v>
      </c>
      <c r="SE8" s="1449"/>
      <c r="SF8" s="1449"/>
      <c r="SG8" s="1449"/>
      <c r="SH8" s="1449"/>
      <c r="SI8" s="1450"/>
      <c r="SJ8" s="1448" t="s">
        <v>739</v>
      </c>
      <c r="SK8" s="1449"/>
      <c r="SL8" s="1449"/>
      <c r="SM8" s="1449"/>
      <c r="SN8" s="1449"/>
      <c r="SO8" s="1449"/>
      <c r="SP8" s="1449"/>
      <c r="SQ8" s="1450"/>
      <c r="SR8" s="1448" t="s">
        <v>740</v>
      </c>
      <c r="SS8" s="1449"/>
      <c r="ST8" s="1449"/>
      <c r="SU8" s="1449"/>
      <c r="SV8" s="1449"/>
      <c r="SW8" s="1450"/>
      <c r="SX8" s="1448" t="s">
        <v>296</v>
      </c>
      <c r="SY8" s="1449"/>
      <c r="SZ8" s="1449"/>
      <c r="TA8" s="1449"/>
      <c r="TB8" s="1449"/>
      <c r="TC8" s="1449"/>
      <c r="TD8" s="1449"/>
      <c r="TE8" s="1449"/>
      <c r="TF8" s="1449"/>
      <c r="TG8" s="1449"/>
      <c r="TH8" s="1449"/>
      <c r="TI8" s="1449"/>
      <c r="TJ8" s="1449"/>
      <c r="TK8" s="1449"/>
      <c r="TL8" s="1449"/>
      <c r="TM8" s="1449"/>
      <c r="TN8" s="1449"/>
      <c r="TO8" s="1449"/>
      <c r="TP8" s="1449"/>
      <c r="TQ8" s="1449"/>
      <c r="TR8" s="1449"/>
      <c r="TS8" s="1449"/>
      <c r="TT8" s="1449"/>
      <c r="TU8" s="1449"/>
      <c r="TV8" s="1449"/>
      <c r="TW8" s="1449"/>
      <c r="TX8" s="1449"/>
      <c r="TY8" s="1449"/>
      <c r="TZ8" s="1449"/>
      <c r="UA8" s="1449"/>
      <c r="UB8" s="1449"/>
      <c r="UC8" s="1449"/>
      <c r="UD8" s="1449"/>
      <c r="UE8" s="1449"/>
      <c r="UF8" s="1449"/>
      <c r="UG8" s="1449"/>
      <c r="UH8" s="1449"/>
      <c r="UI8" s="1449"/>
      <c r="UJ8" s="1449"/>
      <c r="UK8" s="1449"/>
      <c r="UL8" s="1449"/>
      <c r="UM8" s="1449"/>
      <c r="UN8" s="1449"/>
      <c r="UO8" s="1449"/>
      <c r="UP8" s="1449"/>
      <c r="UQ8" s="1449"/>
      <c r="UR8" s="1449"/>
      <c r="US8" s="1449"/>
      <c r="UT8" s="1449"/>
      <c r="UU8" s="1449"/>
      <c r="UV8" s="1449"/>
      <c r="UW8" s="1449"/>
      <c r="UX8" s="1449"/>
      <c r="UY8" s="1449"/>
      <c r="UZ8" s="1449"/>
      <c r="VA8" s="1450"/>
      <c r="VB8" s="1448" t="s">
        <v>938</v>
      </c>
      <c r="VC8" s="1449"/>
      <c r="VD8" s="1449"/>
      <c r="VE8" s="1449"/>
      <c r="VF8" s="1449"/>
      <c r="VG8" s="1449"/>
      <c r="VH8" s="1449"/>
      <c r="VI8" s="1450"/>
      <c r="VJ8" s="1452" t="s">
        <v>264</v>
      </c>
      <c r="VK8" s="1473" t="s">
        <v>939</v>
      </c>
      <c r="VL8" s="1537" t="s">
        <v>940</v>
      </c>
      <c r="VM8" s="1451" t="s">
        <v>268</v>
      </c>
      <c r="VN8" s="1474" t="s">
        <v>939</v>
      </c>
      <c r="VO8" s="1537" t="s">
        <v>940</v>
      </c>
      <c r="VP8" s="1458" t="s">
        <v>941</v>
      </c>
      <c r="VQ8" s="1575"/>
      <c r="VR8" s="1458" t="s">
        <v>942</v>
      </c>
      <c r="VS8" s="1575"/>
      <c r="VT8" s="1448" t="s">
        <v>943</v>
      </c>
      <c r="VU8" s="1449"/>
      <c r="VV8" s="1449"/>
      <c r="VW8" s="1450"/>
      <c r="VX8" s="1458" t="s">
        <v>944</v>
      </c>
      <c r="VY8" s="1459"/>
      <c r="VZ8" s="1458" t="s">
        <v>945</v>
      </c>
      <c r="WA8" s="1523"/>
      <c r="WB8" s="1448" t="s">
        <v>946</v>
      </c>
      <c r="WC8" s="1450"/>
      <c r="WD8" s="1448" t="s">
        <v>745</v>
      </c>
      <c r="WE8" s="1450"/>
      <c r="WF8" s="1448" t="s">
        <v>746</v>
      </c>
      <c r="WG8" s="1449"/>
      <c r="WH8" s="1449"/>
      <c r="WI8" s="1449"/>
      <c r="WJ8" s="1449"/>
      <c r="WK8" s="1450"/>
      <c r="WL8" s="1499" t="s">
        <v>947</v>
      </c>
      <c r="WM8" s="1507"/>
      <c r="WN8" s="1507"/>
      <c r="WO8" s="1507"/>
      <c r="WP8" s="1507"/>
      <c r="WQ8" s="1507"/>
      <c r="WR8" s="1454" t="s">
        <v>264</v>
      </c>
      <c r="WS8" s="1451" t="s">
        <v>268</v>
      </c>
      <c r="WT8" s="1458" t="s">
        <v>748</v>
      </c>
      <c r="WU8" s="1523"/>
      <c r="WV8" s="1523"/>
      <c r="WW8" s="1523"/>
      <c r="WX8" s="1523"/>
      <c r="WY8" s="1459"/>
      <c r="WZ8" s="1448" t="s">
        <v>749</v>
      </c>
      <c r="XA8" s="1449"/>
      <c r="XB8" s="1449"/>
      <c r="XC8" s="1449"/>
      <c r="XD8" s="1449"/>
      <c r="XE8" s="1450"/>
      <c r="XF8" s="1448" t="s">
        <v>750</v>
      </c>
      <c r="XG8" s="1449"/>
      <c r="XH8" s="1449"/>
      <c r="XI8" s="1449"/>
      <c r="XJ8" s="1449"/>
      <c r="XK8" s="1450"/>
      <c r="XL8" s="1448" t="s">
        <v>948</v>
      </c>
      <c r="XM8" s="1449"/>
      <c r="XN8" s="1449"/>
      <c r="XO8" s="1449"/>
      <c r="XP8" s="1449"/>
      <c r="XQ8" s="1449"/>
      <c r="XR8" s="1449"/>
      <c r="XS8" s="1449"/>
      <c r="XT8" s="1449"/>
      <c r="XU8" s="1449"/>
      <c r="XV8" s="1449"/>
      <c r="XW8" s="1450"/>
      <c r="XX8" s="1454" t="s">
        <v>949</v>
      </c>
      <c r="XY8" s="1455"/>
      <c r="XZ8" s="1455"/>
      <c r="YA8" s="1455"/>
      <c r="YB8" s="1455"/>
      <c r="YC8" s="1455"/>
      <c r="YD8" s="1455"/>
      <c r="YE8" s="1455"/>
      <c r="YF8" s="1455"/>
      <c r="YG8" s="1455"/>
      <c r="YH8" s="1455"/>
      <c r="YI8" s="1455"/>
      <c r="YJ8" s="1455"/>
      <c r="YK8" s="1455"/>
      <c r="YL8" s="1455"/>
      <c r="YM8" s="1455"/>
      <c r="YN8" s="1455"/>
      <c r="YO8" s="1455"/>
      <c r="YP8" s="1455"/>
      <c r="YQ8" s="1455"/>
      <c r="YR8" s="1455"/>
      <c r="YS8" s="1455"/>
      <c r="YT8" s="1455"/>
      <c r="YU8" s="1455"/>
      <c r="YV8" s="1455"/>
      <c r="YW8" s="1455"/>
      <c r="YX8" s="1455"/>
      <c r="YY8" s="1455"/>
      <c r="YZ8" s="1455"/>
      <c r="ZA8" s="1455"/>
      <c r="ZB8" s="1455"/>
      <c r="ZC8" s="1455"/>
      <c r="ZD8" s="1455"/>
      <c r="ZE8" s="1455"/>
      <c r="ZF8" s="1455"/>
      <c r="ZG8" s="1455"/>
      <c r="ZH8" s="1455"/>
      <c r="ZI8" s="1455"/>
      <c r="ZJ8" s="1455"/>
      <c r="ZK8" s="1455"/>
      <c r="ZL8" s="1455"/>
      <c r="ZM8" s="1455"/>
      <c r="ZN8" s="1455"/>
      <c r="ZO8" s="1455"/>
      <c r="ZP8" s="1455"/>
      <c r="ZQ8" s="1455"/>
      <c r="ZR8" s="1455"/>
      <c r="ZS8" s="1455"/>
      <c r="ZT8" s="1455"/>
      <c r="ZU8" s="1455"/>
      <c r="ZV8" s="1455"/>
      <c r="ZW8" s="1455"/>
      <c r="ZX8" s="1455"/>
      <c r="ZY8" s="1455"/>
      <c r="ZZ8" s="1455"/>
      <c r="AAA8" s="1455"/>
      <c r="AAB8" s="1455"/>
      <c r="AAC8" s="1455"/>
      <c r="AAD8" s="1452"/>
      <c r="AAE8" s="1452"/>
      <c r="AAF8" s="1511"/>
      <c r="AAG8" s="1512"/>
      <c r="AAH8" s="1512"/>
      <c r="AAI8" s="1512"/>
      <c r="AAJ8" s="1512"/>
      <c r="AAK8" s="1512"/>
      <c r="AAL8" s="1512"/>
      <c r="AAM8" s="1513"/>
      <c r="AAN8" s="1511"/>
      <c r="AAO8" s="1512"/>
      <c r="AAP8" s="1512"/>
      <c r="AAQ8" s="1512"/>
      <c r="AAR8" s="1512"/>
      <c r="AAS8" s="1512"/>
      <c r="AAT8" s="1512"/>
      <c r="AAU8" s="1513"/>
      <c r="AAV8" s="694"/>
      <c r="AAW8" s="694"/>
    </row>
    <row r="9" spans="1:725" ht="105.75" customHeight="1" thickBot="1" x14ac:dyDescent="0.3">
      <c r="A9" s="1452"/>
      <c r="B9" s="1454" t="s">
        <v>950</v>
      </c>
      <c r="C9" s="1495"/>
      <c r="D9" s="1452"/>
      <c r="E9" s="1452"/>
      <c r="F9" s="1460" t="s">
        <v>951</v>
      </c>
      <c r="G9" s="1461"/>
      <c r="H9" s="1460" t="s">
        <v>952</v>
      </c>
      <c r="I9" s="1462"/>
      <c r="J9" s="1496" t="s">
        <v>953</v>
      </c>
      <c r="K9" s="1497"/>
      <c r="L9" s="1497"/>
      <c r="M9" s="1498"/>
      <c r="N9" s="1499" t="s">
        <v>954</v>
      </c>
      <c r="O9" s="1500"/>
      <c r="P9" s="1501" t="s">
        <v>955</v>
      </c>
      <c r="Q9" s="1502"/>
      <c r="R9" s="1470" t="s">
        <v>953</v>
      </c>
      <c r="S9" s="1471"/>
      <c r="T9" s="1471"/>
      <c r="U9" s="1472"/>
      <c r="V9" s="1460" t="s">
        <v>956</v>
      </c>
      <c r="W9" s="1461"/>
      <c r="X9" s="1461"/>
      <c r="Y9" s="1461"/>
      <c r="Z9" s="1461"/>
      <c r="AA9" s="1461"/>
      <c r="AB9" s="1461"/>
      <c r="AC9" s="1462"/>
      <c r="AD9" s="1460" t="s">
        <v>957</v>
      </c>
      <c r="AE9" s="1461"/>
      <c r="AF9" s="1461"/>
      <c r="AG9" s="1461"/>
      <c r="AH9" s="1461"/>
      <c r="AI9" s="1462"/>
      <c r="AJ9" s="1470" t="s">
        <v>953</v>
      </c>
      <c r="AK9" s="1471"/>
      <c r="AL9" s="1471"/>
      <c r="AM9" s="1472"/>
      <c r="AN9" s="1452"/>
      <c r="AO9" s="1452"/>
      <c r="AP9" s="1454" t="s">
        <v>958</v>
      </c>
      <c r="AQ9" s="1455"/>
      <c r="AR9" s="1455"/>
      <c r="AS9" s="1455"/>
      <c r="AT9" s="1455"/>
      <c r="AU9" s="1455"/>
      <c r="AV9" s="1473" t="s">
        <v>827</v>
      </c>
      <c r="AW9" s="1474"/>
      <c r="AX9" s="1474"/>
      <c r="AY9" s="1474"/>
      <c r="AZ9" s="1479" t="s">
        <v>953</v>
      </c>
      <c r="BA9" s="1480"/>
      <c r="BB9" s="1480"/>
      <c r="BC9" s="1480"/>
      <c r="BD9" s="1480"/>
      <c r="BE9" s="1480"/>
      <c r="BF9" s="1480"/>
      <c r="BG9" s="1480"/>
      <c r="BH9" s="1448" t="s">
        <v>959</v>
      </c>
      <c r="BI9" s="1449"/>
      <c r="BJ9" s="1449"/>
      <c r="BK9" s="1450"/>
      <c r="BL9" s="1454" t="s">
        <v>960</v>
      </c>
      <c r="BM9" s="1455"/>
      <c r="BN9" s="1455"/>
      <c r="BO9" s="1495"/>
      <c r="BP9" s="1481" t="s">
        <v>953</v>
      </c>
      <c r="BQ9" s="1482"/>
      <c r="BR9" s="1482"/>
      <c r="BS9" s="1483"/>
      <c r="BT9" s="1473" t="s">
        <v>961</v>
      </c>
      <c r="BU9" s="1484"/>
      <c r="BV9" s="1473" t="s">
        <v>962</v>
      </c>
      <c r="BW9" s="1484"/>
      <c r="BX9" s="1479" t="s">
        <v>953</v>
      </c>
      <c r="BY9" s="1480"/>
      <c r="BZ9" s="1480"/>
      <c r="CA9" s="1480"/>
      <c r="CB9" s="1448" t="s">
        <v>963</v>
      </c>
      <c r="CC9" s="1449"/>
      <c r="CD9" s="1449"/>
      <c r="CE9" s="1449"/>
      <c r="CF9" s="1449"/>
      <c r="CG9" s="1450"/>
      <c r="CH9" s="1479" t="s">
        <v>964</v>
      </c>
      <c r="CI9" s="1480"/>
      <c r="CJ9" s="1473" t="s">
        <v>965</v>
      </c>
      <c r="CK9" s="1484"/>
      <c r="CL9" s="1479" t="s">
        <v>953</v>
      </c>
      <c r="CM9" s="1480"/>
      <c r="CN9" s="1480"/>
      <c r="CO9" s="1533"/>
      <c r="CP9" s="1448" t="s">
        <v>966</v>
      </c>
      <c r="CQ9" s="1449"/>
      <c r="CR9" s="1449"/>
      <c r="CS9" s="1449"/>
      <c r="CT9" s="1449"/>
      <c r="CU9" s="1450"/>
      <c r="CV9" s="1448" t="s">
        <v>967</v>
      </c>
      <c r="CW9" s="1449"/>
      <c r="CX9" s="1449"/>
      <c r="CY9" s="1449"/>
      <c r="CZ9" s="1449"/>
      <c r="DA9" s="1449"/>
      <c r="DB9" s="1449"/>
      <c r="DC9" s="1449"/>
      <c r="DD9" s="1449"/>
      <c r="DE9" s="1449"/>
      <c r="DF9" s="1449"/>
      <c r="DG9" s="1449"/>
      <c r="DH9" s="1449"/>
      <c r="DI9" s="1450"/>
      <c r="DJ9" s="1454" t="s">
        <v>839</v>
      </c>
      <c r="DK9" s="1455"/>
      <c r="DL9" s="1455"/>
      <c r="DM9" s="1455"/>
      <c r="DN9" s="1455"/>
      <c r="DO9" s="1495"/>
      <c r="DP9" s="1481" t="s">
        <v>953</v>
      </c>
      <c r="DQ9" s="1482"/>
      <c r="DR9" s="1482"/>
      <c r="DS9" s="1483"/>
      <c r="DT9" s="1448" t="s">
        <v>968</v>
      </c>
      <c r="DU9" s="1449"/>
      <c r="DV9" s="1449"/>
      <c r="DW9" s="1449"/>
      <c r="DX9" s="1449"/>
      <c r="DY9" s="1449"/>
      <c r="DZ9" s="1449"/>
      <c r="EA9" s="1450"/>
      <c r="EB9" s="1448" t="s">
        <v>969</v>
      </c>
      <c r="EC9" s="1449"/>
      <c r="ED9" s="1449"/>
      <c r="EE9" s="1449"/>
      <c r="EF9" s="1449"/>
      <c r="EG9" s="1450"/>
      <c r="EH9" s="1520" t="s">
        <v>970</v>
      </c>
      <c r="EI9" s="1521"/>
      <c r="EJ9" s="1521"/>
      <c r="EK9" s="1521"/>
      <c r="EL9" s="1521"/>
      <c r="EM9" s="1521"/>
      <c r="EN9" s="1448" t="s">
        <v>971</v>
      </c>
      <c r="EO9" s="1449"/>
      <c r="EP9" s="1449"/>
      <c r="EQ9" s="1449"/>
      <c r="ER9" s="1449"/>
      <c r="ES9" s="1449"/>
      <c r="ET9" s="1449"/>
      <c r="EU9" s="1450"/>
      <c r="EV9" s="1448" t="s">
        <v>972</v>
      </c>
      <c r="EW9" s="1449"/>
      <c r="EX9" s="1449"/>
      <c r="EY9" s="1449"/>
      <c r="EZ9" s="1449"/>
      <c r="FA9" s="1450"/>
      <c r="FB9" s="1448" t="s">
        <v>973</v>
      </c>
      <c r="FC9" s="1449"/>
      <c r="FD9" s="1449"/>
      <c r="FE9" s="1449"/>
      <c r="FF9" s="1449"/>
      <c r="FG9" s="1450"/>
      <c r="FH9" s="1454" t="s">
        <v>974</v>
      </c>
      <c r="FI9" s="1455"/>
      <c r="FJ9" s="1455"/>
      <c r="FK9" s="1455"/>
      <c r="FL9" s="1455"/>
      <c r="FM9" s="1495"/>
      <c r="FN9" s="1551" t="s">
        <v>953</v>
      </c>
      <c r="FO9" s="1552"/>
      <c r="FP9" s="1552"/>
      <c r="FQ9" s="1552"/>
      <c r="FR9" s="1552"/>
      <c r="FS9" s="1552"/>
      <c r="FT9" s="1552"/>
      <c r="FU9" s="1552"/>
      <c r="FV9" s="1552"/>
      <c r="FW9" s="1552"/>
      <c r="FX9" s="1552"/>
      <c r="FY9" s="1553"/>
      <c r="FZ9" s="1448" t="s">
        <v>975</v>
      </c>
      <c r="GA9" s="1449"/>
      <c r="GB9" s="1449"/>
      <c r="GC9" s="1449"/>
      <c r="GD9" s="1449"/>
      <c r="GE9" s="1450"/>
      <c r="GF9" s="1448" t="s">
        <v>976</v>
      </c>
      <c r="GG9" s="1449"/>
      <c r="GH9" s="1449"/>
      <c r="GI9" s="1449"/>
      <c r="GJ9" s="1449"/>
      <c r="GK9" s="1450"/>
      <c r="GL9" s="1542" t="s">
        <v>1283</v>
      </c>
      <c r="GM9" s="1543"/>
      <c r="GN9" s="1543"/>
      <c r="GO9" s="1543"/>
      <c r="GP9" s="1543"/>
      <c r="GQ9" s="1544"/>
      <c r="GR9" s="1551" t="s">
        <v>376</v>
      </c>
      <c r="GS9" s="1552"/>
      <c r="GT9" s="1552"/>
      <c r="GU9" s="1553"/>
      <c r="GV9" s="1448" t="s">
        <v>977</v>
      </c>
      <c r="GW9" s="1449"/>
      <c r="GX9" s="1449"/>
      <c r="GY9" s="1449"/>
      <c r="GZ9" s="1449"/>
      <c r="HA9" s="1449"/>
      <c r="HB9" s="1449"/>
      <c r="HC9" s="1450"/>
      <c r="HD9" s="1542" t="s">
        <v>835</v>
      </c>
      <c r="HE9" s="1543"/>
      <c r="HF9" s="1543"/>
      <c r="HG9" s="1544"/>
      <c r="HH9" s="1551" t="s">
        <v>953</v>
      </c>
      <c r="HI9" s="1552"/>
      <c r="HJ9" s="1552"/>
      <c r="HK9" s="1553"/>
      <c r="HL9" s="1448" t="s">
        <v>978</v>
      </c>
      <c r="HM9" s="1449"/>
      <c r="HN9" s="1449"/>
      <c r="HO9" s="1449"/>
      <c r="HP9" s="1449"/>
      <c r="HQ9" s="1450"/>
      <c r="HR9" s="1448" t="s">
        <v>979</v>
      </c>
      <c r="HS9" s="1449"/>
      <c r="HT9" s="1449"/>
      <c r="HU9" s="1449"/>
      <c r="HV9" s="1449"/>
      <c r="HW9" s="1450"/>
      <c r="HX9" s="1454" t="s">
        <v>833</v>
      </c>
      <c r="HY9" s="1455"/>
      <c r="HZ9" s="1455"/>
      <c r="IA9" s="1455"/>
      <c r="IB9" s="1455"/>
      <c r="IC9" s="1495"/>
      <c r="ID9" s="1551" t="s">
        <v>953</v>
      </c>
      <c r="IE9" s="1552"/>
      <c r="IF9" s="1552"/>
      <c r="IG9" s="1552"/>
      <c r="IH9" s="1552"/>
      <c r="II9" s="1552"/>
      <c r="IJ9" s="1552"/>
      <c r="IK9" s="1552"/>
      <c r="IL9" s="1552"/>
      <c r="IM9" s="1552"/>
      <c r="IN9" s="1552"/>
      <c r="IO9" s="1553"/>
      <c r="IP9" s="1448" t="s">
        <v>980</v>
      </c>
      <c r="IQ9" s="1449"/>
      <c r="IR9" s="1449"/>
      <c r="IS9" s="1449"/>
      <c r="IT9" s="1449"/>
      <c r="IU9" s="1450"/>
      <c r="IV9" s="1599" t="s">
        <v>1291</v>
      </c>
      <c r="IW9" s="1600"/>
      <c r="IX9" s="1600"/>
      <c r="IY9" s="1600"/>
      <c r="IZ9" s="1600"/>
      <c r="JA9" s="1601"/>
      <c r="JB9" s="1551" t="s">
        <v>953</v>
      </c>
      <c r="JC9" s="1552"/>
      <c r="JD9" s="1552"/>
      <c r="JE9" s="1553"/>
      <c r="JF9" s="1448" t="s">
        <v>981</v>
      </c>
      <c r="JG9" s="1449"/>
      <c r="JH9" s="1449"/>
      <c r="JI9" s="1449"/>
      <c r="JJ9" s="1449"/>
      <c r="JK9" s="1449"/>
      <c r="JL9" s="1448" t="s">
        <v>982</v>
      </c>
      <c r="JM9" s="1449"/>
      <c r="JN9" s="1449"/>
      <c r="JO9" s="1449"/>
      <c r="JP9" s="1449"/>
      <c r="JQ9" s="1450"/>
      <c r="JR9" s="1454" t="s">
        <v>983</v>
      </c>
      <c r="JS9" s="1455"/>
      <c r="JT9" s="1455"/>
      <c r="JU9" s="1455"/>
      <c r="JV9" s="1455"/>
      <c r="JW9" s="1495"/>
      <c r="JX9" s="1473" t="s">
        <v>984</v>
      </c>
      <c r="JY9" s="1474"/>
      <c r="JZ9" s="1474"/>
      <c r="KA9" s="1474"/>
      <c r="KB9" s="1474"/>
      <c r="KC9" s="1484"/>
      <c r="KD9" s="1534" t="s">
        <v>953</v>
      </c>
      <c r="KE9" s="1535"/>
      <c r="KF9" s="1535"/>
      <c r="KG9" s="1535"/>
      <c r="KH9" s="1535"/>
      <c r="KI9" s="1535"/>
      <c r="KJ9" s="1535"/>
      <c r="KK9" s="1535"/>
      <c r="KL9" s="1535"/>
      <c r="KM9" s="1535"/>
      <c r="KN9" s="1535"/>
      <c r="KO9" s="1536"/>
      <c r="KP9" s="1487" t="s">
        <v>985</v>
      </c>
      <c r="KQ9" s="1488"/>
      <c r="KR9" s="1488"/>
      <c r="KS9" s="1488"/>
      <c r="KT9" s="1488"/>
      <c r="KU9" s="1488"/>
      <c r="KV9" s="1488"/>
      <c r="KW9" s="1488"/>
      <c r="KX9" s="1488"/>
      <c r="KY9" s="1489"/>
      <c r="KZ9" s="1473" t="s">
        <v>986</v>
      </c>
      <c r="LA9" s="1474"/>
      <c r="LB9" s="1474"/>
      <c r="LC9" s="1474"/>
      <c r="LD9" s="1474"/>
      <c r="LE9" s="1474"/>
      <c r="LF9" s="1474"/>
      <c r="LG9" s="1474"/>
      <c r="LH9" s="1474"/>
      <c r="LI9" s="1484"/>
      <c r="LJ9" s="1524" t="s">
        <v>953</v>
      </c>
      <c r="LK9" s="1525"/>
      <c r="LL9" s="1525"/>
      <c r="LM9" s="1525"/>
      <c r="LN9" s="1525"/>
      <c r="LO9" s="1525"/>
      <c r="LP9" s="1525"/>
      <c r="LQ9" s="1525"/>
      <c r="LR9" s="1525"/>
      <c r="LS9" s="1525"/>
      <c r="LT9" s="1525"/>
      <c r="LU9" s="1525"/>
      <c r="LV9" s="1487" t="s">
        <v>987</v>
      </c>
      <c r="LW9" s="1488"/>
      <c r="LX9" s="1488"/>
      <c r="LY9" s="1488"/>
      <c r="LZ9" s="1488"/>
      <c r="MA9" s="1488"/>
      <c r="MB9" s="1488"/>
      <c r="MC9" s="1489"/>
      <c r="MD9" s="1501" t="s">
        <v>988</v>
      </c>
      <c r="ME9" s="1594"/>
      <c r="MF9" s="1594"/>
      <c r="MG9" s="1594"/>
      <c r="MH9" s="1594"/>
      <c r="MI9" s="1594"/>
      <c r="MJ9" s="1594"/>
      <c r="MK9" s="1502"/>
      <c r="ML9" s="1524" t="s">
        <v>953</v>
      </c>
      <c r="MM9" s="1525"/>
      <c r="MN9" s="1525"/>
      <c r="MO9" s="1525"/>
      <c r="MP9" s="1525"/>
      <c r="MQ9" s="1525"/>
      <c r="MR9" s="1525"/>
      <c r="MS9" s="1525"/>
      <c r="MT9" s="1525"/>
      <c r="MU9" s="1525"/>
      <c r="MV9" s="1525"/>
      <c r="MW9" s="1525"/>
      <c r="MX9" s="1525"/>
      <c r="MY9" s="1525"/>
      <c r="MZ9" s="1525"/>
      <c r="NA9" s="1526"/>
      <c r="NB9" s="1456" t="s">
        <v>989</v>
      </c>
      <c r="NC9" s="1522"/>
      <c r="ND9" s="1522"/>
      <c r="NE9" s="1522"/>
      <c r="NF9" s="1522"/>
      <c r="NG9" s="1522"/>
      <c r="NH9" s="1522"/>
      <c r="NI9" s="1522"/>
      <c r="NJ9" s="1522"/>
      <c r="NK9" s="1522"/>
      <c r="NL9" s="1522"/>
      <c r="NM9" s="1522"/>
      <c r="NN9" s="1522"/>
      <c r="NO9" s="1522"/>
      <c r="NP9" s="1522"/>
      <c r="NQ9" s="1522"/>
      <c r="NR9" s="1454" t="s">
        <v>990</v>
      </c>
      <c r="NS9" s="1455"/>
      <c r="NT9" s="1455"/>
      <c r="NU9" s="1455"/>
      <c r="NV9" s="1455"/>
      <c r="NW9" s="1495"/>
      <c r="NX9" s="1470" t="s">
        <v>953</v>
      </c>
      <c r="NY9" s="1471"/>
      <c r="NZ9" s="1471"/>
      <c r="OA9" s="1471"/>
      <c r="OB9" s="1471"/>
      <c r="OC9" s="1471"/>
      <c r="OD9" s="1471"/>
      <c r="OE9" s="1471"/>
      <c r="OF9" s="1471"/>
      <c r="OG9" s="1471"/>
      <c r="OH9" s="1471"/>
      <c r="OI9" s="1471"/>
      <c r="OJ9" s="1479" t="s">
        <v>991</v>
      </c>
      <c r="OK9" s="1480"/>
      <c r="OL9" s="1480"/>
      <c r="OM9" s="1480"/>
      <c r="ON9" s="1480"/>
      <c r="OO9" s="1480"/>
      <c r="OP9" s="1480"/>
      <c r="OQ9" s="1533"/>
      <c r="OR9" s="1454" t="s">
        <v>992</v>
      </c>
      <c r="OS9" s="1455"/>
      <c r="OT9" s="1455"/>
      <c r="OU9" s="1455"/>
      <c r="OV9" s="1455"/>
      <c r="OW9" s="1455"/>
      <c r="OX9" s="1455"/>
      <c r="OY9" s="1495"/>
      <c r="OZ9" s="1454" t="s">
        <v>993</v>
      </c>
      <c r="PA9" s="1455"/>
      <c r="PB9" s="1455"/>
      <c r="PC9" s="1455"/>
      <c r="PD9" s="1455"/>
      <c r="PE9" s="1455"/>
      <c r="PF9" s="1455"/>
      <c r="PG9" s="1495"/>
      <c r="PH9" s="1470" t="s">
        <v>953</v>
      </c>
      <c r="PI9" s="1471"/>
      <c r="PJ9" s="1471"/>
      <c r="PK9" s="1471"/>
      <c r="PL9" s="1471"/>
      <c r="PM9" s="1471"/>
      <c r="PN9" s="1471"/>
      <c r="PO9" s="1471"/>
      <c r="PP9" s="1471"/>
      <c r="PQ9" s="1471"/>
      <c r="PR9" s="1471"/>
      <c r="PS9" s="1471"/>
      <c r="PT9" s="1471"/>
      <c r="PU9" s="1471"/>
      <c r="PV9" s="1471"/>
      <c r="PW9" s="1472"/>
      <c r="PX9" s="1487" t="s">
        <v>994</v>
      </c>
      <c r="PY9" s="1488"/>
      <c r="PZ9" s="1488"/>
      <c r="QA9" s="1488"/>
      <c r="QB9" s="1488"/>
      <c r="QC9" s="1488"/>
      <c r="QD9" s="1488"/>
      <c r="QE9" s="1488"/>
      <c r="QF9" s="1488"/>
      <c r="QG9" s="1489"/>
      <c r="QH9" s="1454" t="s">
        <v>837</v>
      </c>
      <c r="QI9" s="1455"/>
      <c r="QJ9" s="1455"/>
      <c r="QK9" s="1455"/>
      <c r="QL9" s="1455"/>
      <c r="QM9" s="1495"/>
      <c r="QN9" s="1481" t="s">
        <v>953</v>
      </c>
      <c r="QO9" s="1482"/>
      <c r="QP9" s="1482"/>
      <c r="QQ9" s="1482"/>
      <c r="QR9" s="1482"/>
      <c r="QS9" s="1482"/>
      <c r="QT9" s="1482"/>
      <c r="QU9" s="1482"/>
      <c r="QV9" s="1482"/>
      <c r="QW9" s="1482"/>
      <c r="QX9" s="1482"/>
      <c r="QY9" s="1483"/>
      <c r="QZ9" s="1448" t="s">
        <v>995</v>
      </c>
      <c r="RA9" s="1449"/>
      <c r="RB9" s="1449"/>
      <c r="RC9" s="1449"/>
      <c r="RD9" s="1449"/>
      <c r="RE9" s="1449"/>
      <c r="RF9" s="1448" t="s">
        <v>996</v>
      </c>
      <c r="RG9" s="1449"/>
      <c r="RH9" s="1449"/>
      <c r="RI9" s="1449"/>
      <c r="RJ9" s="1449"/>
      <c r="RK9" s="1449"/>
      <c r="RL9" s="1473" t="s">
        <v>841</v>
      </c>
      <c r="RM9" s="1474"/>
      <c r="RN9" s="1474"/>
      <c r="RO9" s="1474"/>
      <c r="RP9" s="1474"/>
      <c r="RQ9" s="1484"/>
      <c r="RR9" s="1481" t="s">
        <v>953</v>
      </c>
      <c r="RS9" s="1482"/>
      <c r="RT9" s="1482"/>
      <c r="RU9" s="1482"/>
      <c r="RV9" s="1482"/>
      <c r="RW9" s="1482"/>
      <c r="RX9" s="1482"/>
      <c r="RY9" s="1482"/>
      <c r="RZ9" s="1482"/>
      <c r="SA9" s="1482"/>
      <c r="SB9" s="1482"/>
      <c r="SC9" s="1483"/>
      <c r="SD9" s="1448" t="s">
        <v>997</v>
      </c>
      <c r="SE9" s="1449"/>
      <c r="SF9" s="1449"/>
      <c r="SG9" s="1449"/>
      <c r="SH9" s="1449"/>
      <c r="SI9" s="1450"/>
      <c r="SJ9" s="1448" t="s">
        <v>998</v>
      </c>
      <c r="SK9" s="1449"/>
      <c r="SL9" s="1449"/>
      <c r="SM9" s="1449"/>
      <c r="SN9" s="1449"/>
      <c r="SO9" s="1449"/>
      <c r="SP9" s="1449"/>
      <c r="SQ9" s="1450"/>
      <c r="SR9" s="1448" t="s">
        <v>999</v>
      </c>
      <c r="SS9" s="1449"/>
      <c r="ST9" s="1449"/>
      <c r="SU9" s="1449"/>
      <c r="SV9" s="1449"/>
      <c r="SW9" s="1450"/>
      <c r="SX9" s="1454" t="s">
        <v>1000</v>
      </c>
      <c r="SY9" s="1455"/>
      <c r="SZ9" s="1455"/>
      <c r="TA9" s="1455"/>
      <c r="TB9" s="1455"/>
      <c r="TC9" s="1455"/>
      <c r="TD9" s="1455"/>
      <c r="TE9" s="1455"/>
      <c r="TF9" s="1455"/>
      <c r="TG9" s="1455"/>
      <c r="TH9" s="1455"/>
      <c r="TI9" s="1455"/>
      <c r="TJ9" s="1455"/>
      <c r="TK9" s="1495"/>
      <c r="TL9" s="1454" t="s">
        <v>838</v>
      </c>
      <c r="TM9" s="1455"/>
      <c r="TN9" s="1455"/>
      <c r="TO9" s="1455"/>
      <c r="TP9" s="1455"/>
      <c r="TQ9" s="1455"/>
      <c r="TR9" s="1455"/>
      <c r="TS9" s="1455"/>
      <c r="TT9" s="1455"/>
      <c r="TU9" s="1455"/>
      <c r="TV9" s="1455"/>
      <c r="TW9" s="1455"/>
      <c r="TX9" s="1455"/>
      <c r="TY9" s="1495"/>
      <c r="TZ9" s="1539" t="s">
        <v>953</v>
      </c>
      <c r="UA9" s="1540"/>
      <c r="UB9" s="1540"/>
      <c r="UC9" s="1540"/>
      <c r="UD9" s="1540"/>
      <c r="UE9" s="1540"/>
      <c r="UF9" s="1540"/>
      <c r="UG9" s="1540"/>
      <c r="UH9" s="1540"/>
      <c r="UI9" s="1540"/>
      <c r="UJ9" s="1540"/>
      <c r="UK9" s="1540"/>
      <c r="UL9" s="1540"/>
      <c r="UM9" s="1540"/>
      <c r="UN9" s="1540"/>
      <c r="UO9" s="1540"/>
      <c r="UP9" s="1540"/>
      <c r="UQ9" s="1540"/>
      <c r="UR9" s="1540"/>
      <c r="US9" s="1540"/>
      <c r="UT9" s="1540"/>
      <c r="UU9" s="1540"/>
      <c r="UV9" s="1540"/>
      <c r="UW9" s="1540"/>
      <c r="UX9" s="1540"/>
      <c r="UY9" s="1540"/>
      <c r="UZ9" s="1540"/>
      <c r="VA9" s="1541"/>
      <c r="VB9" s="1448" t="s">
        <v>1001</v>
      </c>
      <c r="VC9" s="1450"/>
      <c r="VD9" s="1454" t="s">
        <v>896</v>
      </c>
      <c r="VE9" s="1495"/>
      <c r="VF9" s="1470" t="s">
        <v>953</v>
      </c>
      <c r="VG9" s="1471"/>
      <c r="VH9" s="1471"/>
      <c r="VI9" s="1472"/>
      <c r="VJ9" s="1452"/>
      <c r="VK9" s="1475"/>
      <c r="VL9" s="1538"/>
      <c r="VM9" s="1452"/>
      <c r="VN9" s="1476"/>
      <c r="VO9" s="1538"/>
      <c r="VP9" s="1448" t="s">
        <v>1002</v>
      </c>
      <c r="VQ9" s="1570"/>
      <c r="VR9" s="1448" t="s">
        <v>1003</v>
      </c>
      <c r="VS9" s="1570"/>
      <c r="VT9" s="1454" t="s">
        <v>1004</v>
      </c>
      <c r="VU9" s="1495"/>
      <c r="VV9" s="1454" t="s">
        <v>1005</v>
      </c>
      <c r="VW9" s="1495"/>
      <c r="VX9" s="1448" t="s">
        <v>1006</v>
      </c>
      <c r="VY9" s="1450"/>
      <c r="VZ9" s="1448" t="s">
        <v>1007</v>
      </c>
      <c r="WA9" s="1450"/>
      <c r="WB9" s="1448" t="s">
        <v>1008</v>
      </c>
      <c r="WC9" s="1450"/>
      <c r="WD9" s="1448" t="s">
        <v>1009</v>
      </c>
      <c r="WE9" s="1450"/>
      <c r="WF9" s="1448" t="s">
        <v>1010</v>
      </c>
      <c r="WG9" s="1449"/>
      <c r="WH9" s="1449"/>
      <c r="WI9" s="1449"/>
      <c r="WJ9" s="1449"/>
      <c r="WK9" s="1450"/>
      <c r="WL9" s="1499" t="s">
        <v>1011</v>
      </c>
      <c r="WM9" s="1507"/>
      <c r="WN9" s="1507"/>
      <c r="WO9" s="1507"/>
      <c r="WP9" s="1507"/>
      <c r="WQ9" s="1507"/>
      <c r="WR9" s="1456"/>
      <c r="WS9" s="1452"/>
      <c r="WT9" s="1448" t="s">
        <v>1012</v>
      </c>
      <c r="WU9" s="1449"/>
      <c r="WV9" s="1449"/>
      <c r="WW9" s="1449"/>
      <c r="WX9" s="1449"/>
      <c r="WY9" s="1450"/>
      <c r="WZ9" s="1448" t="s">
        <v>1013</v>
      </c>
      <c r="XA9" s="1449"/>
      <c r="XB9" s="1449"/>
      <c r="XC9" s="1449"/>
      <c r="XD9" s="1449"/>
      <c r="XE9" s="1450"/>
      <c r="XF9" s="1448" t="s">
        <v>1014</v>
      </c>
      <c r="XG9" s="1449"/>
      <c r="XH9" s="1449"/>
      <c r="XI9" s="1449"/>
      <c r="XJ9" s="1449"/>
      <c r="XK9" s="1450"/>
      <c r="XL9" s="1454" t="s">
        <v>1015</v>
      </c>
      <c r="XM9" s="1455"/>
      <c r="XN9" s="1455"/>
      <c r="XO9" s="1455"/>
      <c r="XP9" s="1454" t="s">
        <v>844</v>
      </c>
      <c r="XQ9" s="1455"/>
      <c r="XR9" s="1455"/>
      <c r="XS9" s="1455"/>
      <c r="XT9" s="1551" t="s">
        <v>953</v>
      </c>
      <c r="XU9" s="1552"/>
      <c r="XV9" s="1552"/>
      <c r="XW9" s="1553"/>
      <c r="XX9" s="1454" t="s">
        <v>1016</v>
      </c>
      <c r="XY9" s="1455"/>
      <c r="XZ9" s="1455"/>
      <c r="YA9" s="1455"/>
      <c r="YB9" s="1455"/>
      <c r="YC9" s="1455"/>
      <c r="YD9" s="1455"/>
      <c r="YE9" s="1455"/>
      <c r="YF9" s="1455"/>
      <c r="YG9" s="1455"/>
      <c r="YH9" s="1455"/>
      <c r="YI9" s="1455"/>
      <c r="YJ9" s="1455"/>
      <c r="YK9" s="1455"/>
      <c r="YL9" s="1455"/>
      <c r="YM9" s="1455"/>
      <c r="YN9" s="1455"/>
      <c r="YO9" s="1455"/>
      <c r="YP9" s="1455"/>
      <c r="YQ9" s="1455"/>
      <c r="YR9" s="1455"/>
      <c r="YS9" s="1455"/>
      <c r="YT9" s="1454" t="s">
        <v>1017</v>
      </c>
      <c r="YU9" s="1455"/>
      <c r="YV9" s="1455"/>
      <c r="YW9" s="1455"/>
      <c r="YX9" s="1455"/>
      <c r="YY9" s="1455"/>
      <c r="YZ9" s="1455"/>
      <c r="ZA9" s="1455"/>
      <c r="ZB9" s="1455"/>
      <c r="ZC9" s="1455"/>
      <c r="ZD9" s="1455"/>
      <c r="ZE9" s="1455"/>
      <c r="ZF9" s="1481" t="s">
        <v>953</v>
      </c>
      <c r="ZG9" s="1482"/>
      <c r="ZH9" s="1482"/>
      <c r="ZI9" s="1482"/>
      <c r="ZJ9" s="1482"/>
      <c r="ZK9" s="1482"/>
      <c r="ZL9" s="1482"/>
      <c r="ZM9" s="1482"/>
      <c r="ZN9" s="1482"/>
      <c r="ZO9" s="1482"/>
      <c r="ZP9" s="1482"/>
      <c r="ZQ9" s="1482"/>
      <c r="ZR9" s="1482"/>
      <c r="ZS9" s="1482"/>
      <c r="ZT9" s="1482"/>
      <c r="ZU9" s="1482"/>
      <c r="ZV9" s="1482"/>
      <c r="ZW9" s="1482"/>
      <c r="ZX9" s="1482"/>
      <c r="ZY9" s="1482"/>
      <c r="ZZ9" s="1482"/>
      <c r="AAA9" s="1482"/>
      <c r="AAB9" s="1482"/>
      <c r="AAC9" s="1482"/>
      <c r="AAD9" s="1452"/>
      <c r="AAE9" s="1452"/>
      <c r="AAF9" s="1562" t="s">
        <v>1018</v>
      </c>
      <c r="AAG9" s="1563"/>
      <c r="AAH9" s="1514" t="s">
        <v>1019</v>
      </c>
      <c r="AAI9" s="1516"/>
      <c r="AAJ9" s="1555" t="s">
        <v>953</v>
      </c>
      <c r="AAK9" s="1556"/>
      <c r="AAL9" s="1556"/>
      <c r="AAM9" s="1557"/>
      <c r="AAN9" s="1511" t="s">
        <v>1020</v>
      </c>
      <c r="AAO9" s="1513"/>
      <c r="AAP9" s="1514" t="s">
        <v>1021</v>
      </c>
      <c r="AAQ9" s="1516"/>
      <c r="AAR9" s="1555" t="s">
        <v>953</v>
      </c>
      <c r="AAS9" s="1556"/>
      <c r="AAT9" s="1556"/>
      <c r="AAU9" s="1557"/>
      <c r="AAV9" s="694"/>
      <c r="AAW9" s="694"/>
    </row>
    <row r="10" spans="1:725" ht="88.5" customHeight="1" thickBot="1" x14ac:dyDescent="0.3">
      <c r="A10" s="1452"/>
      <c r="B10" s="1456"/>
      <c r="C10" s="1457"/>
      <c r="D10" s="1452"/>
      <c r="E10" s="1452"/>
      <c r="F10" s="1499" t="s">
        <v>1022</v>
      </c>
      <c r="G10" s="1507"/>
      <c r="H10" s="1463"/>
      <c r="I10" s="1466"/>
      <c r="J10" s="1558" t="s">
        <v>1023</v>
      </c>
      <c r="K10" s="1559"/>
      <c r="L10" s="1558" t="s">
        <v>1024</v>
      </c>
      <c r="M10" s="1559"/>
      <c r="N10" s="1499" t="s">
        <v>1025</v>
      </c>
      <c r="O10" s="1500"/>
      <c r="P10" s="1503"/>
      <c r="Q10" s="1504"/>
      <c r="R10" s="1490" t="s">
        <v>1026</v>
      </c>
      <c r="S10" s="1491"/>
      <c r="T10" s="1490" t="s">
        <v>1027</v>
      </c>
      <c r="U10" s="1491"/>
      <c r="V10" s="1487" t="s">
        <v>1028</v>
      </c>
      <c r="W10" s="1488"/>
      <c r="X10" s="1488"/>
      <c r="Y10" s="1488"/>
      <c r="Z10" s="1488"/>
      <c r="AA10" s="1488"/>
      <c r="AB10" s="1488"/>
      <c r="AC10" s="1489"/>
      <c r="AD10" s="1463"/>
      <c r="AE10" s="1464"/>
      <c r="AF10" s="1464"/>
      <c r="AG10" s="1465"/>
      <c r="AH10" s="1465"/>
      <c r="AI10" s="1466"/>
      <c r="AJ10" s="1490" t="s">
        <v>1029</v>
      </c>
      <c r="AK10" s="1491"/>
      <c r="AL10" s="1490" t="s">
        <v>1030</v>
      </c>
      <c r="AM10" s="1491"/>
      <c r="AN10" s="1452"/>
      <c r="AO10" s="1456"/>
      <c r="AP10" s="1448" t="s">
        <v>1031</v>
      </c>
      <c r="AQ10" s="1449"/>
      <c r="AR10" s="1449"/>
      <c r="AS10" s="1449"/>
      <c r="AT10" s="1449"/>
      <c r="AU10" s="1449"/>
      <c r="AV10" s="1475"/>
      <c r="AW10" s="1476"/>
      <c r="AX10" s="1476"/>
      <c r="AY10" s="1476"/>
      <c r="AZ10" s="1473" t="s">
        <v>1032</v>
      </c>
      <c r="BA10" s="1474"/>
      <c r="BB10" s="1474"/>
      <c r="BC10" s="1474"/>
      <c r="BD10" s="1473" t="s">
        <v>1033</v>
      </c>
      <c r="BE10" s="1474"/>
      <c r="BF10" s="1474"/>
      <c r="BG10" s="1474"/>
      <c r="BH10" s="1448" t="s">
        <v>1034</v>
      </c>
      <c r="BI10" s="1449"/>
      <c r="BJ10" s="1449"/>
      <c r="BK10" s="1450"/>
      <c r="BL10" s="1456"/>
      <c r="BM10" s="1522"/>
      <c r="BN10" s="1522"/>
      <c r="BO10" s="1457"/>
      <c r="BP10" s="1527" t="s">
        <v>1035</v>
      </c>
      <c r="BQ10" s="1529"/>
      <c r="BR10" s="1527" t="s">
        <v>1036</v>
      </c>
      <c r="BS10" s="1529"/>
      <c r="BT10" s="1473" t="s">
        <v>1037</v>
      </c>
      <c r="BU10" s="1484"/>
      <c r="BV10" s="1475"/>
      <c r="BW10" s="1485"/>
      <c r="BX10" s="1473" t="s">
        <v>1038</v>
      </c>
      <c r="BY10" s="1484"/>
      <c r="BZ10" s="1473" t="s">
        <v>1039</v>
      </c>
      <c r="CA10" s="1484"/>
      <c r="CB10" s="1448" t="s">
        <v>1040</v>
      </c>
      <c r="CC10" s="1449"/>
      <c r="CD10" s="1449"/>
      <c r="CE10" s="1449"/>
      <c r="CF10" s="1449"/>
      <c r="CG10" s="1450"/>
      <c r="CH10" s="1479" t="s">
        <v>1041</v>
      </c>
      <c r="CI10" s="1533"/>
      <c r="CJ10" s="1475"/>
      <c r="CK10" s="1485"/>
      <c r="CL10" s="1473" t="s">
        <v>1042</v>
      </c>
      <c r="CM10" s="1474"/>
      <c r="CN10" s="1473" t="s">
        <v>1043</v>
      </c>
      <c r="CO10" s="1484"/>
      <c r="CP10" s="1448" t="s">
        <v>1044</v>
      </c>
      <c r="CQ10" s="1449"/>
      <c r="CR10" s="1449"/>
      <c r="CS10" s="1449"/>
      <c r="CT10" s="1449"/>
      <c r="CU10" s="1450"/>
      <c r="CV10" s="1448" t="s">
        <v>1045</v>
      </c>
      <c r="CW10" s="1449"/>
      <c r="CX10" s="1449"/>
      <c r="CY10" s="1449"/>
      <c r="CZ10" s="1449"/>
      <c r="DA10" s="1449"/>
      <c r="DB10" s="1449"/>
      <c r="DC10" s="1449"/>
      <c r="DD10" s="1449"/>
      <c r="DE10" s="1449"/>
      <c r="DF10" s="1449"/>
      <c r="DG10" s="1449"/>
      <c r="DH10" s="1449"/>
      <c r="DI10" s="1450"/>
      <c r="DJ10" s="1456"/>
      <c r="DK10" s="1522"/>
      <c r="DL10" s="1522"/>
      <c r="DM10" s="1522"/>
      <c r="DN10" s="1522"/>
      <c r="DO10" s="1457"/>
      <c r="DP10" s="1527" t="s">
        <v>1046</v>
      </c>
      <c r="DQ10" s="1528"/>
      <c r="DR10" s="1527" t="s">
        <v>1047</v>
      </c>
      <c r="DS10" s="1529"/>
      <c r="DT10" s="1448" t="s">
        <v>1048</v>
      </c>
      <c r="DU10" s="1449"/>
      <c r="DV10" s="1449"/>
      <c r="DW10" s="1449"/>
      <c r="DX10" s="1449"/>
      <c r="DY10" s="1449"/>
      <c r="DZ10" s="1449"/>
      <c r="EA10" s="1450"/>
      <c r="EB10" s="1448" t="s">
        <v>1049</v>
      </c>
      <c r="EC10" s="1449"/>
      <c r="ED10" s="1449"/>
      <c r="EE10" s="1449"/>
      <c r="EF10" s="1449"/>
      <c r="EG10" s="1450"/>
      <c r="EH10" s="1564" t="s">
        <v>1050</v>
      </c>
      <c r="EI10" s="1565"/>
      <c r="EJ10" s="1565"/>
      <c r="EK10" s="1565"/>
      <c r="EL10" s="1565"/>
      <c r="EM10" s="1565"/>
      <c r="EN10" s="1448" t="s">
        <v>1051</v>
      </c>
      <c r="EO10" s="1449"/>
      <c r="EP10" s="1449"/>
      <c r="EQ10" s="1449"/>
      <c r="ER10" s="1449"/>
      <c r="ES10" s="1449"/>
      <c r="ET10" s="1449"/>
      <c r="EU10" s="1450"/>
      <c r="EV10" s="1448" t="s">
        <v>1052</v>
      </c>
      <c r="EW10" s="1449"/>
      <c r="EX10" s="1449"/>
      <c r="EY10" s="1449"/>
      <c r="EZ10" s="1449"/>
      <c r="FA10" s="1450"/>
      <c r="FB10" s="1448" t="s">
        <v>1053</v>
      </c>
      <c r="FC10" s="1449"/>
      <c r="FD10" s="1449"/>
      <c r="FE10" s="1449"/>
      <c r="FF10" s="1449"/>
      <c r="FG10" s="1450"/>
      <c r="FH10" s="1456"/>
      <c r="FI10" s="1522"/>
      <c r="FJ10" s="1522"/>
      <c r="FK10" s="1522"/>
      <c r="FL10" s="1522"/>
      <c r="FM10" s="1457"/>
      <c r="FN10" s="1542" t="s">
        <v>1054</v>
      </c>
      <c r="FO10" s="1543"/>
      <c r="FP10" s="1543"/>
      <c r="FQ10" s="1543"/>
      <c r="FR10" s="1543"/>
      <c r="FS10" s="1544"/>
      <c r="FT10" s="1542" t="s">
        <v>1055</v>
      </c>
      <c r="FU10" s="1543"/>
      <c r="FV10" s="1543"/>
      <c r="FW10" s="1543"/>
      <c r="FX10" s="1543"/>
      <c r="FY10" s="1544"/>
      <c r="FZ10" s="1479" t="s">
        <v>1056</v>
      </c>
      <c r="GA10" s="1480"/>
      <c r="GB10" s="1480"/>
      <c r="GC10" s="1480"/>
      <c r="GD10" s="1480"/>
      <c r="GE10" s="1533"/>
      <c r="GF10" s="1448" t="s">
        <v>1057</v>
      </c>
      <c r="GG10" s="1449"/>
      <c r="GH10" s="1449"/>
      <c r="GI10" s="1449"/>
      <c r="GJ10" s="1449"/>
      <c r="GK10" s="1450"/>
      <c r="GL10" s="1545"/>
      <c r="GM10" s="1546"/>
      <c r="GN10" s="1546"/>
      <c r="GO10" s="1546"/>
      <c r="GP10" s="1546"/>
      <c r="GQ10" s="1547"/>
      <c r="GR10" s="1542" t="s">
        <v>1284</v>
      </c>
      <c r="GS10" s="1544"/>
      <c r="GT10" s="1542" t="s">
        <v>1285</v>
      </c>
      <c r="GU10" s="1544"/>
      <c r="GV10" s="1448" t="s">
        <v>1058</v>
      </c>
      <c r="GW10" s="1449"/>
      <c r="GX10" s="1449"/>
      <c r="GY10" s="1449"/>
      <c r="GZ10" s="1449"/>
      <c r="HA10" s="1449"/>
      <c r="HB10" s="1449"/>
      <c r="HC10" s="1450"/>
      <c r="HD10" s="1545"/>
      <c r="HE10" s="1554"/>
      <c r="HF10" s="1554"/>
      <c r="HG10" s="1547"/>
      <c r="HH10" s="1542" t="s">
        <v>1059</v>
      </c>
      <c r="HI10" s="1543"/>
      <c r="HJ10" s="1542" t="s">
        <v>1060</v>
      </c>
      <c r="HK10" s="1543"/>
      <c r="HL10" s="1448" t="s">
        <v>1061</v>
      </c>
      <c r="HM10" s="1449"/>
      <c r="HN10" s="1449"/>
      <c r="HO10" s="1449"/>
      <c r="HP10" s="1449"/>
      <c r="HQ10" s="1450"/>
      <c r="HR10" s="1448" t="s">
        <v>1062</v>
      </c>
      <c r="HS10" s="1449"/>
      <c r="HT10" s="1449"/>
      <c r="HU10" s="1449"/>
      <c r="HV10" s="1449"/>
      <c r="HW10" s="1450"/>
      <c r="HX10" s="1456"/>
      <c r="HY10" s="1522"/>
      <c r="HZ10" s="1522"/>
      <c r="IA10" s="1522"/>
      <c r="IB10" s="1522"/>
      <c r="IC10" s="1457"/>
      <c r="ID10" s="1542" t="s">
        <v>1063</v>
      </c>
      <c r="IE10" s="1543"/>
      <c r="IF10" s="1543"/>
      <c r="IG10" s="1543"/>
      <c r="IH10" s="1543"/>
      <c r="II10" s="1544"/>
      <c r="IJ10" s="1542" t="s">
        <v>1064</v>
      </c>
      <c r="IK10" s="1543"/>
      <c r="IL10" s="1543"/>
      <c r="IM10" s="1543"/>
      <c r="IN10" s="1543"/>
      <c r="IO10" s="1544"/>
      <c r="IP10" s="1448" t="s">
        <v>1065</v>
      </c>
      <c r="IQ10" s="1449"/>
      <c r="IR10" s="1449"/>
      <c r="IS10" s="1449"/>
      <c r="IT10" s="1449"/>
      <c r="IU10" s="1450"/>
      <c r="IV10" s="1602"/>
      <c r="IW10" s="1603"/>
      <c r="IX10" s="1603"/>
      <c r="IY10" s="1603"/>
      <c r="IZ10" s="1603"/>
      <c r="JA10" s="1604"/>
      <c r="JB10" s="1542" t="s">
        <v>1292</v>
      </c>
      <c r="JC10" s="1543"/>
      <c r="JD10" s="1542" t="s">
        <v>1293</v>
      </c>
      <c r="JE10" s="1543"/>
      <c r="JF10" s="1448" t="s">
        <v>1066</v>
      </c>
      <c r="JG10" s="1449"/>
      <c r="JH10" s="1449"/>
      <c r="JI10" s="1449"/>
      <c r="JJ10" s="1449"/>
      <c r="JK10" s="1449"/>
      <c r="JL10" s="1448" t="s">
        <v>1067</v>
      </c>
      <c r="JM10" s="1449"/>
      <c r="JN10" s="1449"/>
      <c r="JO10" s="1449"/>
      <c r="JP10" s="1449"/>
      <c r="JQ10" s="1450"/>
      <c r="JR10" s="1448" t="s">
        <v>1068</v>
      </c>
      <c r="JS10" s="1449"/>
      <c r="JT10" s="1449"/>
      <c r="JU10" s="1449"/>
      <c r="JV10" s="1449"/>
      <c r="JW10" s="1450"/>
      <c r="JX10" s="1475"/>
      <c r="JY10" s="1476"/>
      <c r="JZ10" s="1476"/>
      <c r="KA10" s="1476"/>
      <c r="KB10" s="1476"/>
      <c r="KC10" s="1485"/>
      <c r="KD10" s="1473" t="s">
        <v>1069</v>
      </c>
      <c r="KE10" s="1474"/>
      <c r="KF10" s="1474"/>
      <c r="KG10" s="1474"/>
      <c r="KH10" s="1474"/>
      <c r="KI10" s="1484"/>
      <c r="KJ10" s="1473" t="s">
        <v>1070</v>
      </c>
      <c r="KK10" s="1474"/>
      <c r="KL10" s="1474"/>
      <c r="KM10" s="1474"/>
      <c r="KN10" s="1474"/>
      <c r="KO10" s="1484"/>
      <c r="KP10" s="1456" t="s">
        <v>1071</v>
      </c>
      <c r="KQ10" s="1522"/>
      <c r="KR10" s="1522"/>
      <c r="KS10" s="1522"/>
      <c r="KT10" s="1522"/>
      <c r="KU10" s="1522"/>
      <c r="KV10" s="1522"/>
      <c r="KW10" s="1522"/>
      <c r="KX10" s="1522"/>
      <c r="KY10" s="1457"/>
      <c r="KZ10" s="1475"/>
      <c r="LA10" s="1476"/>
      <c r="LB10" s="1476"/>
      <c r="LC10" s="1476"/>
      <c r="LD10" s="1476"/>
      <c r="LE10" s="1476"/>
      <c r="LF10" s="1476"/>
      <c r="LG10" s="1476"/>
      <c r="LH10" s="1476"/>
      <c r="LI10" s="1485"/>
      <c r="LJ10" s="1473" t="s">
        <v>1072</v>
      </c>
      <c r="LK10" s="1474"/>
      <c r="LL10" s="1474"/>
      <c r="LM10" s="1474"/>
      <c r="LN10" s="1474"/>
      <c r="LO10" s="1484"/>
      <c r="LP10" s="1473" t="s">
        <v>1073</v>
      </c>
      <c r="LQ10" s="1474"/>
      <c r="LR10" s="1474"/>
      <c r="LS10" s="1474"/>
      <c r="LT10" s="1474"/>
      <c r="LU10" s="1484"/>
      <c r="LV10" s="1487" t="s">
        <v>1074</v>
      </c>
      <c r="LW10" s="1488"/>
      <c r="LX10" s="1488"/>
      <c r="LY10" s="1488"/>
      <c r="LZ10" s="1488"/>
      <c r="MA10" s="1488"/>
      <c r="MB10" s="1488"/>
      <c r="MC10" s="1489"/>
      <c r="MD10" s="1503"/>
      <c r="ME10" s="1595"/>
      <c r="MF10" s="1595"/>
      <c r="MG10" s="1595"/>
      <c r="MH10" s="1595"/>
      <c r="MI10" s="1595"/>
      <c r="MJ10" s="1595"/>
      <c r="MK10" s="1504"/>
      <c r="ML10" s="1588" t="s">
        <v>1075</v>
      </c>
      <c r="MM10" s="1589"/>
      <c r="MN10" s="1589"/>
      <c r="MO10" s="1589"/>
      <c r="MP10" s="1589"/>
      <c r="MQ10" s="1589"/>
      <c r="MR10" s="1589"/>
      <c r="MS10" s="1590"/>
      <c r="MT10" s="1588" t="s">
        <v>1076</v>
      </c>
      <c r="MU10" s="1589"/>
      <c r="MV10" s="1589"/>
      <c r="MW10" s="1589"/>
      <c r="MX10" s="1589"/>
      <c r="MY10" s="1589"/>
      <c r="MZ10" s="1589"/>
      <c r="NA10" s="1590"/>
      <c r="NB10" s="1448" t="s">
        <v>1077</v>
      </c>
      <c r="NC10" s="1449"/>
      <c r="ND10" s="1449"/>
      <c r="NE10" s="1449"/>
      <c r="NF10" s="1449"/>
      <c r="NG10" s="1449"/>
      <c r="NH10" s="1449"/>
      <c r="NI10" s="1449"/>
      <c r="NJ10" s="1449"/>
      <c r="NK10" s="1449"/>
      <c r="NL10" s="1449"/>
      <c r="NM10" s="1449"/>
      <c r="NN10" s="1449"/>
      <c r="NO10" s="1449"/>
      <c r="NP10" s="1449"/>
      <c r="NQ10" s="1449"/>
      <c r="NR10" s="1456"/>
      <c r="NS10" s="1522"/>
      <c r="NT10" s="1522"/>
      <c r="NU10" s="1522"/>
      <c r="NV10" s="1522"/>
      <c r="NW10" s="1457"/>
      <c r="NX10" s="1542" t="s">
        <v>1078</v>
      </c>
      <c r="NY10" s="1543"/>
      <c r="NZ10" s="1543"/>
      <c r="OA10" s="1543"/>
      <c r="OB10" s="1543"/>
      <c r="OC10" s="1544"/>
      <c r="OD10" s="1527" t="s">
        <v>1079</v>
      </c>
      <c r="OE10" s="1528"/>
      <c r="OF10" s="1528"/>
      <c r="OG10" s="1528"/>
      <c r="OH10" s="1528"/>
      <c r="OI10" s="1528"/>
      <c r="OJ10" s="1479" t="s">
        <v>1080</v>
      </c>
      <c r="OK10" s="1480"/>
      <c r="OL10" s="1480"/>
      <c r="OM10" s="1480"/>
      <c r="ON10" s="1480"/>
      <c r="OO10" s="1480"/>
      <c r="OP10" s="1480"/>
      <c r="OQ10" s="1533"/>
      <c r="OR10" s="1448" t="s">
        <v>1081</v>
      </c>
      <c r="OS10" s="1449"/>
      <c r="OT10" s="1449"/>
      <c r="OU10" s="1449"/>
      <c r="OV10" s="1449"/>
      <c r="OW10" s="1449"/>
      <c r="OX10" s="1449"/>
      <c r="OY10" s="1450"/>
      <c r="OZ10" s="1456"/>
      <c r="PA10" s="1522"/>
      <c r="PB10" s="1522"/>
      <c r="PC10" s="1522"/>
      <c r="PD10" s="1522"/>
      <c r="PE10" s="1522"/>
      <c r="PF10" s="1522"/>
      <c r="PG10" s="1457"/>
      <c r="PH10" s="1527" t="s">
        <v>1082</v>
      </c>
      <c r="PI10" s="1528"/>
      <c r="PJ10" s="1528"/>
      <c r="PK10" s="1528"/>
      <c r="PL10" s="1528"/>
      <c r="PM10" s="1528"/>
      <c r="PN10" s="1528"/>
      <c r="PO10" s="1529"/>
      <c r="PP10" s="1527" t="s">
        <v>1083</v>
      </c>
      <c r="PQ10" s="1528"/>
      <c r="PR10" s="1528"/>
      <c r="PS10" s="1528"/>
      <c r="PT10" s="1528"/>
      <c r="PU10" s="1528"/>
      <c r="PV10" s="1528"/>
      <c r="PW10" s="1529"/>
      <c r="PX10" s="1448" t="s">
        <v>1084</v>
      </c>
      <c r="PY10" s="1449"/>
      <c r="PZ10" s="1449"/>
      <c r="QA10" s="1449"/>
      <c r="QB10" s="1449"/>
      <c r="QC10" s="1449"/>
      <c r="QD10" s="1449"/>
      <c r="QE10" s="1449"/>
      <c r="QF10" s="1449"/>
      <c r="QG10" s="1450"/>
      <c r="QH10" s="1456"/>
      <c r="QI10" s="1522"/>
      <c r="QJ10" s="1522"/>
      <c r="QK10" s="1522"/>
      <c r="QL10" s="1522"/>
      <c r="QM10" s="1457"/>
      <c r="QN10" s="1527" t="s">
        <v>1085</v>
      </c>
      <c r="QO10" s="1528"/>
      <c r="QP10" s="1528"/>
      <c r="QQ10" s="1528"/>
      <c r="QR10" s="1528"/>
      <c r="QS10" s="1529"/>
      <c r="QT10" s="1527" t="s">
        <v>1086</v>
      </c>
      <c r="QU10" s="1528"/>
      <c r="QV10" s="1528"/>
      <c r="QW10" s="1528"/>
      <c r="QX10" s="1528"/>
      <c r="QY10" s="1529"/>
      <c r="QZ10" s="1448" t="s">
        <v>1087</v>
      </c>
      <c r="RA10" s="1449"/>
      <c r="RB10" s="1449"/>
      <c r="RC10" s="1449"/>
      <c r="RD10" s="1449"/>
      <c r="RE10" s="1449"/>
      <c r="RF10" s="1448" t="s">
        <v>1088</v>
      </c>
      <c r="RG10" s="1449"/>
      <c r="RH10" s="1449"/>
      <c r="RI10" s="1449"/>
      <c r="RJ10" s="1449"/>
      <c r="RK10" s="1449"/>
      <c r="RL10" s="1475"/>
      <c r="RM10" s="1476"/>
      <c r="RN10" s="1476"/>
      <c r="RO10" s="1476"/>
      <c r="RP10" s="1476"/>
      <c r="RQ10" s="1485"/>
      <c r="RR10" s="1473" t="s">
        <v>1089</v>
      </c>
      <c r="RS10" s="1474"/>
      <c r="RT10" s="1474"/>
      <c r="RU10" s="1474"/>
      <c r="RV10" s="1474"/>
      <c r="RW10" s="1484"/>
      <c r="RX10" s="1473" t="s">
        <v>1090</v>
      </c>
      <c r="RY10" s="1474"/>
      <c r="RZ10" s="1474"/>
      <c r="SA10" s="1474"/>
      <c r="SB10" s="1474"/>
      <c r="SC10" s="1484"/>
      <c r="SD10" s="1479" t="s">
        <v>1091</v>
      </c>
      <c r="SE10" s="1480"/>
      <c r="SF10" s="1480"/>
      <c r="SG10" s="1480"/>
      <c r="SH10" s="1480"/>
      <c r="SI10" s="1533"/>
      <c r="SJ10" s="1448" t="s">
        <v>294</v>
      </c>
      <c r="SK10" s="1449"/>
      <c r="SL10" s="1449"/>
      <c r="SM10" s="1449"/>
      <c r="SN10" s="1449"/>
      <c r="SO10" s="1449"/>
      <c r="SP10" s="1449"/>
      <c r="SQ10" s="1450"/>
      <c r="SR10" s="1448" t="s">
        <v>295</v>
      </c>
      <c r="SS10" s="1449"/>
      <c r="ST10" s="1449"/>
      <c r="SU10" s="1449"/>
      <c r="SV10" s="1449"/>
      <c r="SW10" s="1450"/>
      <c r="SX10" s="1448" t="s">
        <v>1092</v>
      </c>
      <c r="SY10" s="1449"/>
      <c r="SZ10" s="1449"/>
      <c r="TA10" s="1449"/>
      <c r="TB10" s="1449"/>
      <c r="TC10" s="1449"/>
      <c r="TD10" s="1449"/>
      <c r="TE10" s="1449"/>
      <c r="TF10" s="1449"/>
      <c r="TG10" s="1449"/>
      <c r="TH10" s="1449"/>
      <c r="TI10" s="1449"/>
      <c r="TJ10" s="1449"/>
      <c r="TK10" s="1450"/>
      <c r="TL10" s="1456"/>
      <c r="TM10" s="1522"/>
      <c r="TN10" s="1522"/>
      <c r="TO10" s="1522"/>
      <c r="TP10" s="1522"/>
      <c r="TQ10" s="1522"/>
      <c r="TR10" s="1522"/>
      <c r="TS10" s="1522"/>
      <c r="TT10" s="1522"/>
      <c r="TU10" s="1522"/>
      <c r="TV10" s="1522"/>
      <c r="TW10" s="1522"/>
      <c r="TX10" s="1522"/>
      <c r="TY10" s="1457"/>
      <c r="TZ10" s="1542" t="s">
        <v>1093</v>
      </c>
      <c r="UA10" s="1543"/>
      <c r="UB10" s="1543"/>
      <c r="UC10" s="1543"/>
      <c r="UD10" s="1543"/>
      <c r="UE10" s="1543"/>
      <c r="UF10" s="1543"/>
      <c r="UG10" s="1543"/>
      <c r="UH10" s="1543"/>
      <c r="UI10" s="1543"/>
      <c r="UJ10" s="1543"/>
      <c r="UK10" s="1543"/>
      <c r="UL10" s="1543"/>
      <c r="UM10" s="1544"/>
      <c r="UN10" s="1542" t="s">
        <v>1094</v>
      </c>
      <c r="UO10" s="1543"/>
      <c r="UP10" s="1543"/>
      <c r="UQ10" s="1543"/>
      <c r="UR10" s="1543"/>
      <c r="US10" s="1543"/>
      <c r="UT10" s="1543"/>
      <c r="UU10" s="1543"/>
      <c r="UV10" s="1543"/>
      <c r="UW10" s="1543"/>
      <c r="UX10" s="1543"/>
      <c r="UY10" s="1543"/>
      <c r="UZ10" s="1543"/>
      <c r="VA10" s="1544"/>
      <c r="VB10" s="1448" t="s">
        <v>1095</v>
      </c>
      <c r="VC10" s="1450"/>
      <c r="VD10" s="1456"/>
      <c r="VE10" s="1457"/>
      <c r="VF10" s="1527" t="s">
        <v>1096</v>
      </c>
      <c r="VG10" s="1529"/>
      <c r="VH10" s="1527" t="s">
        <v>1097</v>
      </c>
      <c r="VI10" s="1529"/>
      <c r="VJ10" s="1452"/>
      <c r="VK10" s="1475"/>
      <c r="VL10" s="1538"/>
      <c r="VM10" s="1452"/>
      <c r="VN10" s="1476"/>
      <c r="VO10" s="1538"/>
      <c r="VP10" s="1448" t="s">
        <v>1098</v>
      </c>
      <c r="VQ10" s="1500"/>
      <c r="VR10" s="1448" t="s">
        <v>1099</v>
      </c>
      <c r="VS10" s="1570"/>
      <c r="VT10" s="1456"/>
      <c r="VU10" s="1457"/>
      <c r="VV10" s="1456"/>
      <c r="VW10" s="1457"/>
      <c r="VX10" s="1448" t="s">
        <v>1100</v>
      </c>
      <c r="VY10" s="1450"/>
      <c r="VZ10" s="1448" t="s">
        <v>1101</v>
      </c>
      <c r="WA10" s="1450"/>
      <c r="WB10" s="1448" t="s">
        <v>1102</v>
      </c>
      <c r="WC10" s="1450"/>
      <c r="WD10" s="1448" t="s">
        <v>1103</v>
      </c>
      <c r="WE10" s="1450"/>
      <c r="WF10" s="1448" t="s">
        <v>1104</v>
      </c>
      <c r="WG10" s="1449"/>
      <c r="WH10" s="1449"/>
      <c r="WI10" s="1449"/>
      <c r="WJ10" s="1449"/>
      <c r="WK10" s="1450"/>
      <c r="WL10" s="1499" t="s">
        <v>1105</v>
      </c>
      <c r="WM10" s="1507"/>
      <c r="WN10" s="1507"/>
      <c r="WO10" s="1507"/>
      <c r="WP10" s="1507"/>
      <c r="WQ10" s="1507"/>
      <c r="WR10" s="1456"/>
      <c r="WS10" s="1452"/>
      <c r="WT10" s="1448" t="s">
        <v>1106</v>
      </c>
      <c r="WU10" s="1449"/>
      <c r="WV10" s="1449"/>
      <c r="WW10" s="1449"/>
      <c r="WX10" s="1449"/>
      <c r="WY10" s="1450"/>
      <c r="WZ10" s="1448" t="s">
        <v>1107</v>
      </c>
      <c r="XA10" s="1449"/>
      <c r="XB10" s="1449"/>
      <c r="XC10" s="1449"/>
      <c r="XD10" s="1449"/>
      <c r="XE10" s="1450"/>
      <c r="XF10" s="1448" t="s">
        <v>1108</v>
      </c>
      <c r="XG10" s="1449"/>
      <c r="XH10" s="1449"/>
      <c r="XI10" s="1449"/>
      <c r="XJ10" s="1449"/>
      <c r="XK10" s="1450"/>
      <c r="XL10" s="1562" t="s">
        <v>1109</v>
      </c>
      <c r="XM10" s="1569"/>
      <c r="XN10" s="1569"/>
      <c r="XO10" s="1569"/>
      <c r="XP10" s="1456"/>
      <c r="XQ10" s="1522"/>
      <c r="XR10" s="1522"/>
      <c r="XS10" s="1522"/>
      <c r="XT10" s="1542" t="s">
        <v>1110</v>
      </c>
      <c r="XU10" s="1544"/>
      <c r="XV10" s="1542" t="s">
        <v>1111</v>
      </c>
      <c r="XW10" s="1544"/>
      <c r="XX10" s="1448" t="s">
        <v>1112</v>
      </c>
      <c r="XY10" s="1449"/>
      <c r="XZ10" s="1449"/>
      <c r="YA10" s="1449"/>
      <c r="YB10" s="1449"/>
      <c r="YC10" s="1449"/>
      <c r="YD10" s="1449"/>
      <c r="YE10" s="1449"/>
      <c r="YF10" s="1449"/>
      <c r="YG10" s="1449"/>
      <c r="YH10" s="1449"/>
      <c r="YI10" s="1449"/>
      <c r="YJ10" s="1449"/>
      <c r="YK10" s="1449"/>
      <c r="YL10" s="1449"/>
      <c r="YM10" s="1449"/>
      <c r="YN10" s="1449"/>
      <c r="YO10" s="1449"/>
      <c r="YP10" s="1449"/>
      <c r="YQ10" s="1449"/>
      <c r="YR10" s="1449"/>
      <c r="YS10" s="1449"/>
      <c r="YT10" s="1456"/>
      <c r="YU10" s="1522"/>
      <c r="YV10" s="1522"/>
      <c r="YW10" s="1522"/>
      <c r="YX10" s="1522"/>
      <c r="YY10" s="1522"/>
      <c r="YZ10" s="1522"/>
      <c r="ZA10" s="1522"/>
      <c r="ZB10" s="1522"/>
      <c r="ZC10" s="1522"/>
      <c r="ZD10" s="1522"/>
      <c r="ZE10" s="1522"/>
      <c r="ZF10" s="1527" t="s">
        <v>1113</v>
      </c>
      <c r="ZG10" s="1528"/>
      <c r="ZH10" s="1528"/>
      <c r="ZI10" s="1528"/>
      <c r="ZJ10" s="1528"/>
      <c r="ZK10" s="1528"/>
      <c r="ZL10" s="1528"/>
      <c r="ZM10" s="1528"/>
      <c r="ZN10" s="1528"/>
      <c r="ZO10" s="1528"/>
      <c r="ZP10" s="1528"/>
      <c r="ZQ10" s="1528"/>
      <c r="ZR10" s="1527" t="s">
        <v>1114</v>
      </c>
      <c r="ZS10" s="1528"/>
      <c r="ZT10" s="1528"/>
      <c r="ZU10" s="1528"/>
      <c r="ZV10" s="1528"/>
      <c r="ZW10" s="1528"/>
      <c r="ZX10" s="1528"/>
      <c r="ZY10" s="1528"/>
      <c r="ZZ10" s="1528"/>
      <c r="AAA10" s="1528"/>
      <c r="AAB10" s="1528"/>
      <c r="AAC10" s="1528"/>
      <c r="AAD10" s="1452"/>
      <c r="AAE10" s="1452"/>
      <c r="AAF10" s="1562" t="s">
        <v>1115</v>
      </c>
      <c r="AAG10" s="1563"/>
      <c r="AAH10" s="1508"/>
      <c r="AAI10" s="1510"/>
      <c r="AAJ10" s="1571" t="s">
        <v>1116</v>
      </c>
      <c r="AAK10" s="1572"/>
      <c r="AAL10" s="1571" t="s">
        <v>1117</v>
      </c>
      <c r="AAM10" s="1572"/>
      <c r="AAN10" s="1562" t="s">
        <v>1118</v>
      </c>
      <c r="AAO10" s="1563"/>
      <c r="AAP10" s="1508"/>
      <c r="AAQ10" s="1510"/>
      <c r="AAR10" s="1571" t="s">
        <v>1119</v>
      </c>
      <c r="AAS10" s="1572"/>
      <c r="AAT10" s="1571" t="s">
        <v>1120</v>
      </c>
      <c r="AAU10" s="1572"/>
      <c r="AAV10" s="694"/>
      <c r="AAW10" s="694"/>
    </row>
    <row r="11" spans="1:725" ht="91.5" customHeight="1" thickBot="1" x14ac:dyDescent="0.3">
      <c r="A11" s="1452"/>
      <c r="B11" s="1456"/>
      <c r="C11" s="1457"/>
      <c r="D11" s="1452"/>
      <c r="E11" s="1456"/>
      <c r="F11" s="1499" t="s">
        <v>1121</v>
      </c>
      <c r="G11" s="1507"/>
      <c r="H11" s="1467"/>
      <c r="I11" s="1469"/>
      <c r="J11" s="1560"/>
      <c r="K11" s="1561"/>
      <c r="L11" s="1560"/>
      <c r="M11" s="1561"/>
      <c r="N11" s="1499" t="s">
        <v>1122</v>
      </c>
      <c r="O11" s="1500"/>
      <c r="P11" s="1505"/>
      <c r="Q11" s="1506"/>
      <c r="R11" s="1492"/>
      <c r="S11" s="1493"/>
      <c r="T11" s="1492"/>
      <c r="U11" s="1493"/>
      <c r="V11" s="1487" t="s">
        <v>1123</v>
      </c>
      <c r="W11" s="1488"/>
      <c r="X11" s="1488"/>
      <c r="Y11" s="1488"/>
      <c r="Z11" s="1488"/>
      <c r="AA11" s="1488"/>
      <c r="AB11" s="1488"/>
      <c r="AC11" s="1489"/>
      <c r="AD11" s="1467"/>
      <c r="AE11" s="1468"/>
      <c r="AF11" s="1468"/>
      <c r="AG11" s="1468"/>
      <c r="AH11" s="1468"/>
      <c r="AI11" s="1469"/>
      <c r="AJ11" s="1492"/>
      <c r="AK11" s="1493"/>
      <c r="AL11" s="1492"/>
      <c r="AM11" s="1493"/>
      <c r="AN11" s="1457"/>
      <c r="AO11" s="1456"/>
      <c r="AP11" s="1448" t="s">
        <v>1124</v>
      </c>
      <c r="AQ11" s="1449"/>
      <c r="AR11" s="1449"/>
      <c r="AS11" s="1449"/>
      <c r="AT11" s="1449"/>
      <c r="AU11" s="1449"/>
      <c r="AV11" s="1477"/>
      <c r="AW11" s="1478"/>
      <c r="AX11" s="1478"/>
      <c r="AY11" s="1478"/>
      <c r="AZ11" s="1477"/>
      <c r="BA11" s="1478"/>
      <c r="BB11" s="1478"/>
      <c r="BC11" s="1478"/>
      <c r="BD11" s="1477"/>
      <c r="BE11" s="1478"/>
      <c r="BF11" s="1478"/>
      <c r="BG11" s="1478"/>
      <c r="BH11" s="1448" t="s">
        <v>1125</v>
      </c>
      <c r="BI11" s="1449"/>
      <c r="BJ11" s="1449"/>
      <c r="BK11" s="1450"/>
      <c r="BL11" s="1458"/>
      <c r="BM11" s="1523"/>
      <c r="BN11" s="1523"/>
      <c r="BO11" s="1459"/>
      <c r="BP11" s="1530"/>
      <c r="BQ11" s="1532"/>
      <c r="BR11" s="1530"/>
      <c r="BS11" s="1532"/>
      <c r="BT11" s="1473" t="s">
        <v>1126</v>
      </c>
      <c r="BU11" s="1484"/>
      <c r="BV11" s="1477"/>
      <c r="BW11" s="1486"/>
      <c r="BX11" s="1477"/>
      <c r="BY11" s="1486"/>
      <c r="BZ11" s="1477"/>
      <c r="CA11" s="1486"/>
      <c r="CB11" s="1566" t="s">
        <v>1127</v>
      </c>
      <c r="CC11" s="1567"/>
      <c r="CD11" s="1567"/>
      <c r="CE11" s="1567"/>
      <c r="CF11" s="1567"/>
      <c r="CG11" s="1568"/>
      <c r="CH11" s="1479" t="s">
        <v>1128</v>
      </c>
      <c r="CI11" s="1533"/>
      <c r="CJ11" s="1477"/>
      <c r="CK11" s="1486"/>
      <c r="CL11" s="1477"/>
      <c r="CM11" s="1478"/>
      <c r="CN11" s="1477"/>
      <c r="CO11" s="1486"/>
      <c r="CP11" s="1448" t="s">
        <v>1129</v>
      </c>
      <c r="CQ11" s="1449"/>
      <c r="CR11" s="1449"/>
      <c r="CS11" s="1449"/>
      <c r="CT11" s="1449"/>
      <c r="CU11" s="1450"/>
      <c r="CV11" s="1448" t="s">
        <v>1130</v>
      </c>
      <c r="CW11" s="1449"/>
      <c r="CX11" s="1449"/>
      <c r="CY11" s="1449"/>
      <c r="CZ11" s="1449"/>
      <c r="DA11" s="1449"/>
      <c r="DB11" s="1449"/>
      <c r="DC11" s="1449"/>
      <c r="DD11" s="1449"/>
      <c r="DE11" s="1449"/>
      <c r="DF11" s="1449"/>
      <c r="DG11" s="1449"/>
      <c r="DH11" s="1449"/>
      <c r="DI11" s="1450"/>
      <c r="DJ11" s="1458"/>
      <c r="DK11" s="1523"/>
      <c r="DL11" s="1523"/>
      <c r="DM11" s="1523"/>
      <c r="DN11" s="1523"/>
      <c r="DO11" s="1459"/>
      <c r="DP11" s="1530"/>
      <c r="DQ11" s="1531"/>
      <c r="DR11" s="1530"/>
      <c r="DS11" s="1532"/>
      <c r="DT11" s="1448" t="s">
        <v>1131</v>
      </c>
      <c r="DU11" s="1449"/>
      <c r="DV11" s="1449"/>
      <c r="DW11" s="1449"/>
      <c r="DX11" s="1449"/>
      <c r="DY11" s="1449"/>
      <c r="DZ11" s="1449"/>
      <c r="EA11" s="1450"/>
      <c r="EB11" s="1448" t="s">
        <v>1132</v>
      </c>
      <c r="EC11" s="1449"/>
      <c r="ED11" s="1449"/>
      <c r="EE11" s="1449"/>
      <c r="EF11" s="1449"/>
      <c r="EG11" s="1450"/>
      <c r="EH11" s="1564" t="s">
        <v>1133</v>
      </c>
      <c r="EI11" s="1565"/>
      <c r="EJ11" s="1565"/>
      <c r="EK11" s="1565"/>
      <c r="EL11" s="1565"/>
      <c r="EM11" s="1565"/>
      <c r="EN11" s="1448" t="s">
        <v>1134</v>
      </c>
      <c r="EO11" s="1449"/>
      <c r="EP11" s="1449"/>
      <c r="EQ11" s="1449"/>
      <c r="ER11" s="1449"/>
      <c r="ES11" s="1449"/>
      <c r="ET11" s="1449"/>
      <c r="EU11" s="1450"/>
      <c r="EV11" s="1448" t="s">
        <v>1135</v>
      </c>
      <c r="EW11" s="1449"/>
      <c r="EX11" s="1449"/>
      <c r="EY11" s="1449"/>
      <c r="EZ11" s="1449"/>
      <c r="FA11" s="1450"/>
      <c r="FB11" s="1448" t="s">
        <v>1136</v>
      </c>
      <c r="FC11" s="1449"/>
      <c r="FD11" s="1449"/>
      <c r="FE11" s="1449"/>
      <c r="FF11" s="1449"/>
      <c r="FG11" s="1450"/>
      <c r="FH11" s="1458"/>
      <c r="FI11" s="1523"/>
      <c r="FJ11" s="1523"/>
      <c r="FK11" s="1523"/>
      <c r="FL11" s="1523"/>
      <c r="FM11" s="1459"/>
      <c r="FN11" s="1548"/>
      <c r="FO11" s="1549"/>
      <c r="FP11" s="1549"/>
      <c r="FQ11" s="1549"/>
      <c r="FR11" s="1549"/>
      <c r="FS11" s="1550"/>
      <c r="FT11" s="1548"/>
      <c r="FU11" s="1549"/>
      <c r="FV11" s="1549"/>
      <c r="FW11" s="1549"/>
      <c r="FX11" s="1549"/>
      <c r="FY11" s="1550"/>
      <c r="FZ11" s="1479" t="s">
        <v>1137</v>
      </c>
      <c r="GA11" s="1480"/>
      <c r="GB11" s="1480"/>
      <c r="GC11" s="1480"/>
      <c r="GD11" s="1480"/>
      <c r="GE11" s="1533"/>
      <c r="GF11" s="1566" t="s">
        <v>1138</v>
      </c>
      <c r="GG11" s="1567"/>
      <c r="GH11" s="1567"/>
      <c r="GI11" s="1567"/>
      <c r="GJ11" s="1567"/>
      <c r="GK11" s="1568"/>
      <c r="GL11" s="1548"/>
      <c r="GM11" s="1549"/>
      <c r="GN11" s="1549"/>
      <c r="GO11" s="1549"/>
      <c r="GP11" s="1549"/>
      <c r="GQ11" s="1550"/>
      <c r="GR11" s="1548"/>
      <c r="GS11" s="1550"/>
      <c r="GT11" s="1548"/>
      <c r="GU11" s="1550"/>
      <c r="GV11" s="1448" t="s">
        <v>1139</v>
      </c>
      <c r="GW11" s="1449"/>
      <c r="GX11" s="1449"/>
      <c r="GY11" s="1449"/>
      <c r="GZ11" s="1449"/>
      <c r="HA11" s="1449"/>
      <c r="HB11" s="1449"/>
      <c r="HC11" s="1450"/>
      <c r="HD11" s="1548"/>
      <c r="HE11" s="1549"/>
      <c r="HF11" s="1549"/>
      <c r="HG11" s="1550"/>
      <c r="HH11" s="1548"/>
      <c r="HI11" s="1549"/>
      <c r="HJ11" s="1548"/>
      <c r="HK11" s="1549"/>
      <c r="HL11" s="1448" t="s">
        <v>1140</v>
      </c>
      <c r="HM11" s="1449"/>
      <c r="HN11" s="1449"/>
      <c r="HO11" s="1449"/>
      <c r="HP11" s="1449"/>
      <c r="HQ11" s="1450"/>
      <c r="HR11" s="1448" t="s">
        <v>1141</v>
      </c>
      <c r="HS11" s="1449"/>
      <c r="HT11" s="1449"/>
      <c r="HU11" s="1449"/>
      <c r="HV11" s="1449"/>
      <c r="HW11" s="1450"/>
      <c r="HX11" s="1458"/>
      <c r="HY11" s="1523"/>
      <c r="HZ11" s="1523"/>
      <c r="IA11" s="1523"/>
      <c r="IB11" s="1523"/>
      <c r="IC11" s="1459"/>
      <c r="ID11" s="1548"/>
      <c r="IE11" s="1549"/>
      <c r="IF11" s="1549"/>
      <c r="IG11" s="1549"/>
      <c r="IH11" s="1549"/>
      <c r="II11" s="1550"/>
      <c r="IJ11" s="1548"/>
      <c r="IK11" s="1549"/>
      <c r="IL11" s="1549"/>
      <c r="IM11" s="1549"/>
      <c r="IN11" s="1549"/>
      <c r="IO11" s="1550"/>
      <c r="IP11" s="1448" t="s">
        <v>1142</v>
      </c>
      <c r="IQ11" s="1449"/>
      <c r="IR11" s="1449"/>
      <c r="IS11" s="1449"/>
      <c r="IT11" s="1449"/>
      <c r="IU11" s="1450"/>
      <c r="IV11" s="1605"/>
      <c r="IW11" s="1606"/>
      <c r="IX11" s="1606"/>
      <c r="IY11" s="1606"/>
      <c r="IZ11" s="1606"/>
      <c r="JA11" s="1607"/>
      <c r="JB11" s="1548"/>
      <c r="JC11" s="1549"/>
      <c r="JD11" s="1548"/>
      <c r="JE11" s="1549"/>
      <c r="JF11" s="1566" t="s">
        <v>1143</v>
      </c>
      <c r="JG11" s="1567"/>
      <c r="JH11" s="1567"/>
      <c r="JI11" s="1567"/>
      <c r="JJ11" s="1567"/>
      <c r="JK11" s="1567"/>
      <c r="JL11" s="1448" t="s">
        <v>1144</v>
      </c>
      <c r="JM11" s="1449"/>
      <c r="JN11" s="1449"/>
      <c r="JO11" s="1449"/>
      <c r="JP11" s="1449"/>
      <c r="JQ11" s="1450"/>
      <c r="JR11" s="1479" t="s">
        <v>1145</v>
      </c>
      <c r="JS11" s="1480"/>
      <c r="JT11" s="1480"/>
      <c r="JU11" s="1480"/>
      <c r="JV11" s="1480"/>
      <c r="JW11" s="1533"/>
      <c r="JX11" s="1477"/>
      <c r="JY11" s="1478"/>
      <c r="JZ11" s="1478"/>
      <c r="KA11" s="1478"/>
      <c r="KB11" s="1478"/>
      <c r="KC11" s="1486"/>
      <c r="KD11" s="1477"/>
      <c r="KE11" s="1478"/>
      <c r="KF11" s="1478"/>
      <c r="KG11" s="1478"/>
      <c r="KH11" s="1478"/>
      <c r="KI11" s="1486"/>
      <c r="KJ11" s="1477"/>
      <c r="KK11" s="1478"/>
      <c r="KL11" s="1478"/>
      <c r="KM11" s="1478"/>
      <c r="KN11" s="1478"/>
      <c r="KO11" s="1486"/>
      <c r="KP11" s="1448" t="s">
        <v>1146</v>
      </c>
      <c r="KQ11" s="1449"/>
      <c r="KR11" s="1449"/>
      <c r="KS11" s="1449"/>
      <c r="KT11" s="1449"/>
      <c r="KU11" s="1449"/>
      <c r="KV11" s="1449"/>
      <c r="KW11" s="1449"/>
      <c r="KX11" s="1449"/>
      <c r="KY11" s="1450"/>
      <c r="KZ11" s="1477"/>
      <c r="LA11" s="1478"/>
      <c r="LB11" s="1478"/>
      <c r="LC11" s="1478"/>
      <c r="LD11" s="1478"/>
      <c r="LE11" s="1478"/>
      <c r="LF11" s="1478"/>
      <c r="LG11" s="1478"/>
      <c r="LH11" s="1478"/>
      <c r="LI11" s="1486"/>
      <c r="LJ11" s="1477"/>
      <c r="LK11" s="1478"/>
      <c r="LL11" s="1478"/>
      <c r="LM11" s="1478"/>
      <c r="LN11" s="1478"/>
      <c r="LO11" s="1486"/>
      <c r="LP11" s="1477"/>
      <c r="LQ11" s="1478"/>
      <c r="LR11" s="1478"/>
      <c r="LS11" s="1478"/>
      <c r="LT11" s="1478"/>
      <c r="LU11" s="1486"/>
      <c r="LV11" s="1487" t="s">
        <v>1147</v>
      </c>
      <c r="LW11" s="1488"/>
      <c r="LX11" s="1488"/>
      <c r="LY11" s="1488"/>
      <c r="LZ11" s="1488"/>
      <c r="MA11" s="1488"/>
      <c r="MB11" s="1488"/>
      <c r="MC11" s="1489"/>
      <c r="MD11" s="1505"/>
      <c r="ME11" s="1596"/>
      <c r="MF11" s="1596"/>
      <c r="MG11" s="1596"/>
      <c r="MH11" s="1596"/>
      <c r="MI11" s="1596"/>
      <c r="MJ11" s="1596"/>
      <c r="MK11" s="1506"/>
      <c r="ML11" s="1591"/>
      <c r="MM11" s="1592"/>
      <c r="MN11" s="1592"/>
      <c r="MO11" s="1592"/>
      <c r="MP11" s="1592"/>
      <c r="MQ11" s="1592"/>
      <c r="MR11" s="1592"/>
      <c r="MS11" s="1593"/>
      <c r="MT11" s="1591"/>
      <c r="MU11" s="1592"/>
      <c r="MV11" s="1592"/>
      <c r="MW11" s="1592"/>
      <c r="MX11" s="1592"/>
      <c r="MY11" s="1592"/>
      <c r="MZ11" s="1592"/>
      <c r="NA11" s="1593"/>
      <c r="NB11" s="1448" t="s">
        <v>1148</v>
      </c>
      <c r="NC11" s="1449"/>
      <c r="ND11" s="1449"/>
      <c r="NE11" s="1449"/>
      <c r="NF11" s="1449"/>
      <c r="NG11" s="1449"/>
      <c r="NH11" s="1449"/>
      <c r="NI11" s="1449"/>
      <c r="NJ11" s="1449"/>
      <c r="NK11" s="1449"/>
      <c r="NL11" s="1449"/>
      <c r="NM11" s="1449"/>
      <c r="NN11" s="1449"/>
      <c r="NO11" s="1449"/>
      <c r="NP11" s="1449"/>
      <c r="NQ11" s="1449"/>
      <c r="NR11" s="1458"/>
      <c r="NS11" s="1523"/>
      <c r="NT11" s="1523"/>
      <c r="NU11" s="1523"/>
      <c r="NV11" s="1523"/>
      <c r="NW11" s="1459"/>
      <c r="NX11" s="1548"/>
      <c r="NY11" s="1549"/>
      <c r="NZ11" s="1549"/>
      <c r="OA11" s="1549"/>
      <c r="OB11" s="1549"/>
      <c r="OC11" s="1550"/>
      <c r="OD11" s="1530"/>
      <c r="OE11" s="1531"/>
      <c r="OF11" s="1531"/>
      <c r="OG11" s="1531"/>
      <c r="OH11" s="1531"/>
      <c r="OI11" s="1531"/>
      <c r="OJ11" s="1479" t="s">
        <v>1149</v>
      </c>
      <c r="OK11" s="1480"/>
      <c r="OL11" s="1480"/>
      <c r="OM11" s="1480"/>
      <c r="ON11" s="1480"/>
      <c r="OO11" s="1480"/>
      <c r="OP11" s="1480"/>
      <c r="OQ11" s="1533"/>
      <c r="OR11" s="1448" t="s">
        <v>1150</v>
      </c>
      <c r="OS11" s="1449"/>
      <c r="OT11" s="1449"/>
      <c r="OU11" s="1449"/>
      <c r="OV11" s="1449"/>
      <c r="OW11" s="1449"/>
      <c r="OX11" s="1449"/>
      <c r="OY11" s="1450"/>
      <c r="OZ11" s="1458"/>
      <c r="PA11" s="1523"/>
      <c r="PB11" s="1523"/>
      <c r="PC11" s="1523"/>
      <c r="PD11" s="1523"/>
      <c r="PE11" s="1523"/>
      <c r="PF11" s="1523"/>
      <c r="PG11" s="1459"/>
      <c r="PH11" s="1530"/>
      <c r="PI11" s="1531"/>
      <c r="PJ11" s="1531"/>
      <c r="PK11" s="1531"/>
      <c r="PL11" s="1531"/>
      <c r="PM11" s="1531"/>
      <c r="PN11" s="1531"/>
      <c r="PO11" s="1532"/>
      <c r="PP11" s="1530"/>
      <c r="PQ11" s="1531"/>
      <c r="PR11" s="1531"/>
      <c r="PS11" s="1531"/>
      <c r="PT11" s="1531"/>
      <c r="PU11" s="1531"/>
      <c r="PV11" s="1531"/>
      <c r="PW11" s="1532"/>
      <c r="PX11" s="1448" t="s">
        <v>1151</v>
      </c>
      <c r="PY11" s="1449"/>
      <c r="PZ11" s="1449"/>
      <c r="QA11" s="1449"/>
      <c r="QB11" s="1449"/>
      <c r="QC11" s="1449"/>
      <c r="QD11" s="1449"/>
      <c r="QE11" s="1449"/>
      <c r="QF11" s="1449"/>
      <c r="QG11" s="1450"/>
      <c r="QH11" s="1458"/>
      <c r="QI11" s="1523"/>
      <c r="QJ11" s="1523"/>
      <c r="QK11" s="1523"/>
      <c r="QL11" s="1523"/>
      <c r="QM11" s="1459"/>
      <c r="QN11" s="1530"/>
      <c r="QO11" s="1531"/>
      <c r="QP11" s="1531"/>
      <c r="QQ11" s="1531"/>
      <c r="QR11" s="1531"/>
      <c r="QS11" s="1532"/>
      <c r="QT11" s="1530"/>
      <c r="QU11" s="1531"/>
      <c r="QV11" s="1531"/>
      <c r="QW11" s="1531"/>
      <c r="QX11" s="1531"/>
      <c r="QY11" s="1532"/>
      <c r="QZ11" s="1448" t="s">
        <v>1152</v>
      </c>
      <c r="RA11" s="1449"/>
      <c r="RB11" s="1449"/>
      <c r="RC11" s="1449"/>
      <c r="RD11" s="1449"/>
      <c r="RE11" s="1449"/>
      <c r="RF11" s="1479" t="s">
        <v>1153</v>
      </c>
      <c r="RG11" s="1480"/>
      <c r="RH11" s="1480"/>
      <c r="RI11" s="1480"/>
      <c r="RJ11" s="1480"/>
      <c r="RK11" s="1480"/>
      <c r="RL11" s="1477"/>
      <c r="RM11" s="1478"/>
      <c r="RN11" s="1478"/>
      <c r="RO11" s="1478"/>
      <c r="RP11" s="1478"/>
      <c r="RQ11" s="1486"/>
      <c r="RR11" s="1477"/>
      <c r="RS11" s="1478"/>
      <c r="RT11" s="1478"/>
      <c r="RU11" s="1478"/>
      <c r="RV11" s="1478"/>
      <c r="RW11" s="1486"/>
      <c r="RX11" s="1477"/>
      <c r="RY11" s="1478"/>
      <c r="RZ11" s="1478"/>
      <c r="SA11" s="1478"/>
      <c r="SB11" s="1478"/>
      <c r="SC11" s="1486"/>
      <c r="SD11" s="1479" t="s">
        <v>1154</v>
      </c>
      <c r="SE11" s="1480"/>
      <c r="SF11" s="1480"/>
      <c r="SG11" s="1480"/>
      <c r="SH11" s="1480"/>
      <c r="SI11" s="1533"/>
      <c r="SJ11" s="1448" t="s">
        <v>1155</v>
      </c>
      <c r="SK11" s="1449"/>
      <c r="SL11" s="1449"/>
      <c r="SM11" s="1449"/>
      <c r="SN11" s="1449"/>
      <c r="SO11" s="1449"/>
      <c r="SP11" s="1449"/>
      <c r="SQ11" s="1450"/>
      <c r="SR11" s="1479" t="s">
        <v>1156</v>
      </c>
      <c r="SS11" s="1480"/>
      <c r="ST11" s="1480"/>
      <c r="SU11" s="1480"/>
      <c r="SV11" s="1480"/>
      <c r="SW11" s="1533"/>
      <c r="SX11" s="1448" t="s">
        <v>1157</v>
      </c>
      <c r="SY11" s="1449"/>
      <c r="SZ11" s="1449"/>
      <c r="TA11" s="1449"/>
      <c r="TB11" s="1449"/>
      <c r="TC11" s="1449"/>
      <c r="TD11" s="1449"/>
      <c r="TE11" s="1449"/>
      <c r="TF11" s="1449"/>
      <c r="TG11" s="1449"/>
      <c r="TH11" s="1449"/>
      <c r="TI11" s="1449"/>
      <c r="TJ11" s="1449"/>
      <c r="TK11" s="1450"/>
      <c r="TL11" s="1458"/>
      <c r="TM11" s="1523"/>
      <c r="TN11" s="1523"/>
      <c r="TO11" s="1523"/>
      <c r="TP11" s="1523"/>
      <c r="TQ11" s="1523"/>
      <c r="TR11" s="1523"/>
      <c r="TS11" s="1523"/>
      <c r="TT11" s="1523"/>
      <c r="TU11" s="1523"/>
      <c r="TV11" s="1523"/>
      <c r="TW11" s="1523"/>
      <c r="TX11" s="1523"/>
      <c r="TY11" s="1459"/>
      <c r="TZ11" s="1548"/>
      <c r="UA11" s="1549"/>
      <c r="UB11" s="1549"/>
      <c r="UC11" s="1549"/>
      <c r="UD11" s="1549"/>
      <c r="UE11" s="1549"/>
      <c r="UF11" s="1549"/>
      <c r="UG11" s="1549"/>
      <c r="UH11" s="1549"/>
      <c r="UI11" s="1549"/>
      <c r="UJ11" s="1549"/>
      <c r="UK11" s="1549"/>
      <c r="UL11" s="1549"/>
      <c r="UM11" s="1550"/>
      <c r="UN11" s="1548"/>
      <c r="UO11" s="1549"/>
      <c r="UP11" s="1549"/>
      <c r="UQ11" s="1549"/>
      <c r="UR11" s="1549"/>
      <c r="US11" s="1549"/>
      <c r="UT11" s="1549"/>
      <c r="UU11" s="1549"/>
      <c r="UV11" s="1549"/>
      <c r="UW11" s="1549"/>
      <c r="UX11" s="1549"/>
      <c r="UY11" s="1549"/>
      <c r="UZ11" s="1549"/>
      <c r="VA11" s="1550"/>
      <c r="VB11" s="1448" t="s">
        <v>1158</v>
      </c>
      <c r="VC11" s="1450"/>
      <c r="VD11" s="1458"/>
      <c r="VE11" s="1459"/>
      <c r="VF11" s="1530"/>
      <c r="VG11" s="1532"/>
      <c r="VH11" s="1530"/>
      <c r="VI11" s="1532"/>
      <c r="VJ11" s="1452"/>
      <c r="VK11" s="1475"/>
      <c r="VL11" s="1538"/>
      <c r="VM11" s="1452"/>
      <c r="VN11" s="1476"/>
      <c r="VO11" s="1475"/>
      <c r="VP11" s="1448" t="s">
        <v>1159</v>
      </c>
      <c r="VQ11" s="1500"/>
      <c r="VR11" s="1448" t="s">
        <v>1160</v>
      </c>
      <c r="VS11" s="1570"/>
      <c r="VT11" s="1458"/>
      <c r="VU11" s="1459"/>
      <c r="VV11" s="1458"/>
      <c r="VW11" s="1459"/>
      <c r="VX11" s="1448" t="s">
        <v>1161</v>
      </c>
      <c r="VY11" s="1450"/>
      <c r="VZ11" s="1479" t="s">
        <v>1162</v>
      </c>
      <c r="WA11" s="1533"/>
      <c r="WB11" s="1448" t="s">
        <v>1163</v>
      </c>
      <c r="WC11" s="1450"/>
      <c r="WD11" s="1448" t="s">
        <v>1164</v>
      </c>
      <c r="WE11" s="1450"/>
      <c r="WF11" s="1448" t="s">
        <v>1165</v>
      </c>
      <c r="WG11" s="1449"/>
      <c r="WH11" s="1449"/>
      <c r="WI11" s="1449"/>
      <c r="WJ11" s="1449"/>
      <c r="WK11" s="1450"/>
      <c r="WL11" s="1499" t="s">
        <v>1166</v>
      </c>
      <c r="WM11" s="1507"/>
      <c r="WN11" s="1507"/>
      <c r="WO11" s="1507"/>
      <c r="WP11" s="1507"/>
      <c r="WQ11" s="1507"/>
      <c r="WR11" s="1456"/>
      <c r="WS11" s="1452"/>
      <c r="WT11" s="1448" t="s">
        <v>1167</v>
      </c>
      <c r="WU11" s="1449"/>
      <c r="WV11" s="1449"/>
      <c r="WW11" s="1449"/>
      <c r="WX11" s="1449"/>
      <c r="WY11" s="1450"/>
      <c r="WZ11" s="1448" t="s">
        <v>1168</v>
      </c>
      <c r="XA11" s="1449"/>
      <c r="XB11" s="1449"/>
      <c r="XC11" s="1449"/>
      <c r="XD11" s="1449"/>
      <c r="XE11" s="1450"/>
      <c r="XF11" s="1448" t="s">
        <v>1169</v>
      </c>
      <c r="XG11" s="1449"/>
      <c r="XH11" s="1449"/>
      <c r="XI11" s="1449"/>
      <c r="XJ11" s="1449"/>
      <c r="XK11" s="1450"/>
      <c r="XL11" s="1562" t="s">
        <v>1170</v>
      </c>
      <c r="XM11" s="1569"/>
      <c r="XN11" s="1569"/>
      <c r="XO11" s="1569"/>
      <c r="XP11" s="1458"/>
      <c r="XQ11" s="1523"/>
      <c r="XR11" s="1523"/>
      <c r="XS11" s="1523"/>
      <c r="XT11" s="1548"/>
      <c r="XU11" s="1550"/>
      <c r="XV11" s="1548"/>
      <c r="XW11" s="1550"/>
      <c r="XX11" s="1454" t="s">
        <v>1171</v>
      </c>
      <c r="XY11" s="1449"/>
      <c r="XZ11" s="1449"/>
      <c r="YA11" s="1449"/>
      <c r="YB11" s="1449"/>
      <c r="YC11" s="1455"/>
      <c r="YD11" s="1449"/>
      <c r="YE11" s="1449"/>
      <c r="YF11" s="1449"/>
      <c r="YG11" s="1449"/>
      <c r="YH11" s="1449"/>
      <c r="YI11" s="1449"/>
      <c r="YJ11" s="1449"/>
      <c r="YK11" s="1449"/>
      <c r="YL11" s="1449"/>
      <c r="YM11" s="1449"/>
      <c r="YN11" s="1449"/>
      <c r="YO11" s="1449"/>
      <c r="YP11" s="1449"/>
      <c r="YQ11" s="1449"/>
      <c r="YR11" s="1449"/>
      <c r="YS11" s="1449"/>
      <c r="YT11" s="1458"/>
      <c r="YU11" s="1523"/>
      <c r="YV11" s="1523"/>
      <c r="YW11" s="1523"/>
      <c r="YX11" s="1523"/>
      <c r="YY11" s="1523"/>
      <c r="YZ11" s="1523"/>
      <c r="ZA11" s="1523"/>
      <c r="ZB11" s="1523"/>
      <c r="ZC11" s="1523"/>
      <c r="ZD11" s="1523"/>
      <c r="ZE11" s="1523"/>
      <c r="ZF11" s="1530"/>
      <c r="ZG11" s="1531"/>
      <c r="ZH11" s="1531"/>
      <c r="ZI11" s="1531"/>
      <c r="ZJ11" s="1531"/>
      <c r="ZK11" s="1531"/>
      <c r="ZL11" s="1531"/>
      <c r="ZM11" s="1531"/>
      <c r="ZN11" s="1531"/>
      <c r="ZO11" s="1531"/>
      <c r="ZP11" s="1531"/>
      <c r="ZQ11" s="1531"/>
      <c r="ZR11" s="1530"/>
      <c r="ZS11" s="1531"/>
      <c r="ZT11" s="1531"/>
      <c r="ZU11" s="1531"/>
      <c r="ZV11" s="1531"/>
      <c r="ZW11" s="1531"/>
      <c r="ZX11" s="1531"/>
      <c r="ZY11" s="1531"/>
      <c r="ZZ11" s="1531"/>
      <c r="AAA11" s="1531"/>
      <c r="AAB11" s="1531"/>
      <c r="AAC11" s="1531"/>
      <c r="AAD11" s="1452"/>
      <c r="AAE11" s="1452"/>
      <c r="AAF11" s="1562" t="s">
        <v>1172</v>
      </c>
      <c r="AAG11" s="1563"/>
      <c r="AAH11" s="1511"/>
      <c r="AAI11" s="1513"/>
      <c r="AAJ11" s="1573"/>
      <c r="AAK11" s="1574"/>
      <c r="AAL11" s="1573"/>
      <c r="AAM11" s="1574"/>
      <c r="AAN11" s="1562" t="s">
        <v>1173</v>
      </c>
      <c r="AAO11" s="1563"/>
      <c r="AAP11" s="1511"/>
      <c r="AAQ11" s="1513"/>
      <c r="AAR11" s="1573"/>
      <c r="AAS11" s="1574"/>
      <c r="AAT11" s="1573"/>
      <c r="AAU11" s="1574"/>
      <c r="AAV11" s="694"/>
      <c r="AAW11" s="694"/>
    </row>
    <row r="12" spans="1:725" ht="27" customHeight="1" thickBot="1" x14ac:dyDescent="0.3">
      <c r="A12" s="1453"/>
      <c r="B12" s="698" t="s">
        <v>315</v>
      </c>
      <c r="C12" s="1175" t="s">
        <v>317</v>
      </c>
      <c r="D12" s="1452"/>
      <c r="E12" s="1456"/>
      <c r="F12" s="698" t="s">
        <v>315</v>
      </c>
      <c r="G12" s="1173" t="s">
        <v>317</v>
      </c>
      <c r="H12" s="698" t="s">
        <v>315</v>
      </c>
      <c r="I12" s="1174" t="s">
        <v>317</v>
      </c>
      <c r="J12" s="1183" t="s">
        <v>315</v>
      </c>
      <c r="K12" s="1182" t="s">
        <v>317</v>
      </c>
      <c r="L12" s="699" t="s">
        <v>315</v>
      </c>
      <c r="M12" s="1183" t="s">
        <v>317</v>
      </c>
      <c r="N12" s="698" t="s">
        <v>315</v>
      </c>
      <c r="O12" s="1173" t="s">
        <v>317</v>
      </c>
      <c r="P12" s="698" t="s">
        <v>315</v>
      </c>
      <c r="Q12" s="1173" t="s">
        <v>317</v>
      </c>
      <c r="R12" s="699" t="s">
        <v>315</v>
      </c>
      <c r="S12" s="1183" t="s">
        <v>317</v>
      </c>
      <c r="T12" s="699" t="s">
        <v>315</v>
      </c>
      <c r="U12" s="1183" t="s">
        <v>317</v>
      </c>
      <c r="V12" s="698" t="s">
        <v>315</v>
      </c>
      <c r="W12" s="1180" t="s">
        <v>640</v>
      </c>
      <c r="X12" s="700" t="s">
        <v>642</v>
      </c>
      <c r="Y12" s="1191" t="s">
        <v>646</v>
      </c>
      <c r="Z12" s="1174" t="s">
        <v>317</v>
      </c>
      <c r="AA12" s="700" t="s">
        <v>640</v>
      </c>
      <c r="AB12" s="1181" t="s">
        <v>642</v>
      </c>
      <c r="AC12" s="700" t="s">
        <v>646</v>
      </c>
      <c r="AD12" s="1173" t="s">
        <v>315</v>
      </c>
      <c r="AE12" s="1180" t="s">
        <v>638</v>
      </c>
      <c r="AF12" s="700" t="s">
        <v>644</v>
      </c>
      <c r="AG12" s="698" t="s">
        <v>317</v>
      </c>
      <c r="AH12" s="1181" t="s">
        <v>638</v>
      </c>
      <c r="AI12" s="700" t="s">
        <v>644</v>
      </c>
      <c r="AJ12" s="699" t="s">
        <v>315</v>
      </c>
      <c r="AK12" s="1183" t="s">
        <v>317</v>
      </c>
      <c r="AL12" s="699" t="s">
        <v>315</v>
      </c>
      <c r="AM12" s="699" t="s">
        <v>317</v>
      </c>
      <c r="AN12" s="1459"/>
      <c r="AO12" s="1458"/>
      <c r="AP12" s="698" t="s">
        <v>315</v>
      </c>
      <c r="AQ12" s="1180" t="s">
        <v>498</v>
      </c>
      <c r="AR12" s="701" t="s">
        <v>1174</v>
      </c>
      <c r="AS12" s="698" t="s">
        <v>317</v>
      </c>
      <c r="AT12" s="702" t="s">
        <v>498</v>
      </c>
      <c r="AU12" s="703" t="s">
        <v>1174</v>
      </c>
      <c r="AV12" s="698" t="s">
        <v>315</v>
      </c>
      <c r="AW12" s="701" t="s">
        <v>1174</v>
      </c>
      <c r="AX12" s="698" t="s">
        <v>317</v>
      </c>
      <c r="AY12" s="701" t="s">
        <v>1174</v>
      </c>
      <c r="AZ12" s="704" t="s">
        <v>315</v>
      </c>
      <c r="BA12" s="701" t="s">
        <v>1174</v>
      </c>
      <c r="BB12" s="704" t="s">
        <v>317</v>
      </c>
      <c r="BC12" s="701" t="s">
        <v>1174</v>
      </c>
      <c r="BD12" s="704" t="s">
        <v>315</v>
      </c>
      <c r="BE12" s="701" t="s">
        <v>1174</v>
      </c>
      <c r="BF12" s="704" t="s">
        <v>317</v>
      </c>
      <c r="BG12" s="701" t="s">
        <v>1174</v>
      </c>
      <c r="BH12" s="698" t="s">
        <v>315</v>
      </c>
      <c r="BI12" s="701" t="s">
        <v>462</v>
      </c>
      <c r="BJ12" s="698" t="s">
        <v>317</v>
      </c>
      <c r="BK12" s="705" t="s">
        <v>462</v>
      </c>
      <c r="BL12" s="1175" t="s">
        <v>315</v>
      </c>
      <c r="BM12" s="701" t="s">
        <v>462</v>
      </c>
      <c r="BN12" s="698" t="s">
        <v>317</v>
      </c>
      <c r="BO12" s="705" t="s">
        <v>462</v>
      </c>
      <c r="BP12" s="1189" t="s">
        <v>315</v>
      </c>
      <c r="BQ12" s="706" t="s">
        <v>317</v>
      </c>
      <c r="BR12" s="1190" t="s">
        <v>315</v>
      </c>
      <c r="BS12" s="706" t="s">
        <v>317</v>
      </c>
      <c r="BT12" s="1176" t="s">
        <v>315</v>
      </c>
      <c r="BU12" s="1175" t="s">
        <v>317</v>
      </c>
      <c r="BV12" s="1177" t="s">
        <v>315</v>
      </c>
      <c r="BW12" s="698" t="s">
        <v>317</v>
      </c>
      <c r="BX12" s="1183" t="s">
        <v>315</v>
      </c>
      <c r="BY12" s="699" t="s">
        <v>317</v>
      </c>
      <c r="BZ12" s="699" t="s">
        <v>315</v>
      </c>
      <c r="CA12" s="1184" t="s">
        <v>317</v>
      </c>
      <c r="CB12" s="1172" t="s">
        <v>315</v>
      </c>
      <c r="CC12" s="1178" t="s">
        <v>1295</v>
      </c>
      <c r="CD12" s="707" t="s">
        <v>490</v>
      </c>
      <c r="CE12" s="698" t="s">
        <v>317</v>
      </c>
      <c r="CF12" s="700" t="s">
        <v>1295</v>
      </c>
      <c r="CG12" s="708" t="s">
        <v>490</v>
      </c>
      <c r="CH12" s="1175" t="s">
        <v>315</v>
      </c>
      <c r="CI12" s="1177" t="s">
        <v>317</v>
      </c>
      <c r="CJ12" s="698" t="s">
        <v>315</v>
      </c>
      <c r="CK12" s="1175" t="s">
        <v>317</v>
      </c>
      <c r="CL12" s="1182" t="s">
        <v>315</v>
      </c>
      <c r="CM12" s="699" t="s">
        <v>317</v>
      </c>
      <c r="CN12" s="1183" t="s">
        <v>315</v>
      </c>
      <c r="CO12" s="699" t="s">
        <v>317</v>
      </c>
      <c r="CP12" s="1172" t="s">
        <v>315</v>
      </c>
      <c r="CQ12" s="700" t="s">
        <v>492</v>
      </c>
      <c r="CR12" s="707" t="s">
        <v>494</v>
      </c>
      <c r="CS12" s="698" t="s">
        <v>317</v>
      </c>
      <c r="CT12" s="700" t="s">
        <v>492</v>
      </c>
      <c r="CU12" s="708" t="s">
        <v>494</v>
      </c>
      <c r="CV12" s="1172" t="s">
        <v>315</v>
      </c>
      <c r="CW12" s="708" t="s">
        <v>1175</v>
      </c>
      <c r="CX12" s="709" t="s">
        <v>1176</v>
      </c>
      <c r="CY12" s="708" t="s">
        <v>1177</v>
      </c>
      <c r="CZ12" s="709" t="s">
        <v>1178</v>
      </c>
      <c r="DA12" s="708" t="s">
        <v>1179</v>
      </c>
      <c r="DB12" s="709" t="s">
        <v>1180</v>
      </c>
      <c r="DC12" s="698" t="s">
        <v>317</v>
      </c>
      <c r="DD12" s="708" t="s">
        <v>1175</v>
      </c>
      <c r="DE12" s="709" t="s">
        <v>1176</v>
      </c>
      <c r="DF12" s="708" t="s">
        <v>1177</v>
      </c>
      <c r="DG12" s="709" t="s">
        <v>1178</v>
      </c>
      <c r="DH12" s="708" t="s">
        <v>1179</v>
      </c>
      <c r="DI12" s="710" t="s">
        <v>1180</v>
      </c>
      <c r="DJ12" s="1172" t="s">
        <v>315</v>
      </c>
      <c r="DK12" s="708" t="s">
        <v>1177</v>
      </c>
      <c r="DL12" s="709" t="s">
        <v>1178</v>
      </c>
      <c r="DM12" s="698" t="s">
        <v>317</v>
      </c>
      <c r="DN12" s="708" t="s">
        <v>1177</v>
      </c>
      <c r="DO12" s="709" t="s">
        <v>1178</v>
      </c>
      <c r="DP12" s="1182" t="s">
        <v>315</v>
      </c>
      <c r="DQ12" s="699" t="s">
        <v>317</v>
      </c>
      <c r="DR12" s="1183" t="s">
        <v>315</v>
      </c>
      <c r="DS12" s="699" t="s">
        <v>317</v>
      </c>
      <c r="DT12" s="698" t="s">
        <v>315</v>
      </c>
      <c r="DU12" s="711" t="s">
        <v>537</v>
      </c>
      <c r="DV12" s="707" t="s">
        <v>535</v>
      </c>
      <c r="DW12" s="708" t="s">
        <v>449</v>
      </c>
      <c r="DX12" s="1175" t="s">
        <v>317</v>
      </c>
      <c r="DY12" s="711" t="s">
        <v>537</v>
      </c>
      <c r="DZ12" s="707" t="s">
        <v>535</v>
      </c>
      <c r="EA12" s="707" t="s">
        <v>449</v>
      </c>
      <c r="EB12" s="1172" t="s">
        <v>315</v>
      </c>
      <c r="EC12" s="711" t="s">
        <v>1181</v>
      </c>
      <c r="ED12" s="712" t="s">
        <v>1182</v>
      </c>
      <c r="EE12" s="698" t="s">
        <v>317</v>
      </c>
      <c r="EF12" s="713" t="s">
        <v>1181</v>
      </c>
      <c r="EG12" s="712" t="s">
        <v>1182</v>
      </c>
      <c r="EH12" s="1172" t="s">
        <v>315</v>
      </c>
      <c r="EI12" s="1180" t="s">
        <v>1183</v>
      </c>
      <c r="EJ12" s="714" t="s">
        <v>1184</v>
      </c>
      <c r="EK12" s="698" t="s">
        <v>317</v>
      </c>
      <c r="EL12" s="1180" t="s">
        <v>1183</v>
      </c>
      <c r="EM12" s="714" t="s">
        <v>1184</v>
      </c>
      <c r="EN12" s="1172" t="s">
        <v>315</v>
      </c>
      <c r="EO12" s="715" t="s">
        <v>1185</v>
      </c>
      <c r="EP12" s="715" t="s">
        <v>1186</v>
      </c>
      <c r="EQ12" s="710" t="s">
        <v>1187</v>
      </c>
      <c r="ER12" s="698" t="s">
        <v>317</v>
      </c>
      <c r="ES12" s="715" t="s">
        <v>1185</v>
      </c>
      <c r="ET12" s="715" t="s">
        <v>1186</v>
      </c>
      <c r="EU12" s="710" t="s">
        <v>1187</v>
      </c>
      <c r="EV12" s="1172" t="s">
        <v>315</v>
      </c>
      <c r="EW12" s="708" t="s">
        <v>1188</v>
      </c>
      <c r="EX12" s="709" t="s">
        <v>1189</v>
      </c>
      <c r="EY12" s="698" t="s">
        <v>317</v>
      </c>
      <c r="EZ12" s="708" t="s">
        <v>1188</v>
      </c>
      <c r="FA12" s="709" t="s">
        <v>1189</v>
      </c>
      <c r="FB12" s="1172" t="s">
        <v>315</v>
      </c>
      <c r="FC12" s="708" t="s">
        <v>1190</v>
      </c>
      <c r="FD12" s="709" t="s">
        <v>1191</v>
      </c>
      <c r="FE12" s="698" t="s">
        <v>317</v>
      </c>
      <c r="FF12" s="708" t="s">
        <v>1190</v>
      </c>
      <c r="FG12" s="709" t="s">
        <v>1191</v>
      </c>
      <c r="FH12" s="1172" t="s">
        <v>315</v>
      </c>
      <c r="FI12" s="708" t="s">
        <v>1190</v>
      </c>
      <c r="FJ12" s="709" t="s">
        <v>1191</v>
      </c>
      <c r="FK12" s="698" t="s">
        <v>317</v>
      </c>
      <c r="FL12" s="708" t="s">
        <v>1190</v>
      </c>
      <c r="FM12" s="709" t="s">
        <v>1191</v>
      </c>
      <c r="FN12" s="1194" t="s">
        <v>315</v>
      </c>
      <c r="FO12" s="708" t="s">
        <v>1190</v>
      </c>
      <c r="FP12" s="709" t="s">
        <v>1191</v>
      </c>
      <c r="FQ12" s="704" t="s">
        <v>317</v>
      </c>
      <c r="FR12" s="708" t="s">
        <v>1190</v>
      </c>
      <c r="FS12" s="709" t="s">
        <v>1191</v>
      </c>
      <c r="FT12" s="1194" t="s">
        <v>315</v>
      </c>
      <c r="FU12" s="708" t="s">
        <v>1190</v>
      </c>
      <c r="FV12" s="709" t="s">
        <v>1191</v>
      </c>
      <c r="FW12" s="704" t="s">
        <v>317</v>
      </c>
      <c r="FX12" s="708" t="s">
        <v>1190</v>
      </c>
      <c r="FY12" s="709" t="s">
        <v>1191</v>
      </c>
      <c r="FZ12" s="698" t="s">
        <v>315</v>
      </c>
      <c r="GA12" s="700" t="s">
        <v>567</v>
      </c>
      <c r="GB12" s="723" t="s">
        <v>1192</v>
      </c>
      <c r="GC12" s="698" t="s">
        <v>317</v>
      </c>
      <c r="GD12" s="700" t="s">
        <v>567</v>
      </c>
      <c r="GE12" s="723" t="s">
        <v>1192</v>
      </c>
      <c r="GF12" s="698" t="s">
        <v>315</v>
      </c>
      <c r="GG12" s="700" t="s">
        <v>456</v>
      </c>
      <c r="GH12" s="723" t="s">
        <v>1193</v>
      </c>
      <c r="GI12" s="698" t="s">
        <v>317</v>
      </c>
      <c r="GJ12" s="700" t="s">
        <v>456</v>
      </c>
      <c r="GK12" s="723" t="s">
        <v>1193</v>
      </c>
      <c r="GL12" s="704" t="s">
        <v>315</v>
      </c>
      <c r="GM12" s="700" t="s">
        <v>456</v>
      </c>
      <c r="GN12" s="723" t="s">
        <v>1193</v>
      </c>
      <c r="GO12" s="704" t="s">
        <v>317</v>
      </c>
      <c r="GP12" s="700" t="s">
        <v>456</v>
      </c>
      <c r="GQ12" s="723" t="s">
        <v>1193</v>
      </c>
      <c r="GR12" s="1192" t="s">
        <v>315</v>
      </c>
      <c r="GS12" s="1026" t="s">
        <v>317</v>
      </c>
      <c r="GT12" s="1193" t="s">
        <v>315</v>
      </c>
      <c r="GU12" s="1026" t="s">
        <v>317</v>
      </c>
      <c r="GV12" s="698" t="s">
        <v>315</v>
      </c>
      <c r="GW12" s="1196" t="s">
        <v>1194</v>
      </c>
      <c r="GX12" s="716" t="s">
        <v>1195</v>
      </c>
      <c r="GY12" s="1180" t="s">
        <v>1196</v>
      </c>
      <c r="GZ12" s="698" t="s">
        <v>317</v>
      </c>
      <c r="HA12" s="1196" t="s">
        <v>1194</v>
      </c>
      <c r="HB12" s="716" t="s">
        <v>1195</v>
      </c>
      <c r="HC12" s="700" t="s">
        <v>1196</v>
      </c>
      <c r="HD12" s="704" t="s">
        <v>315</v>
      </c>
      <c r="HE12" s="1180" t="s">
        <v>1196</v>
      </c>
      <c r="HF12" s="1194" t="s">
        <v>317</v>
      </c>
      <c r="HG12" s="700" t="s">
        <v>1196</v>
      </c>
      <c r="HH12" s="704" t="s">
        <v>315</v>
      </c>
      <c r="HI12" s="1194" t="s">
        <v>317</v>
      </c>
      <c r="HJ12" s="704" t="s">
        <v>315</v>
      </c>
      <c r="HK12" s="1194" t="s">
        <v>317</v>
      </c>
      <c r="HL12" s="698" t="s">
        <v>315</v>
      </c>
      <c r="HM12" s="1196" t="s">
        <v>1197</v>
      </c>
      <c r="HN12" s="716" t="s">
        <v>1198</v>
      </c>
      <c r="HO12" s="698" t="s">
        <v>317</v>
      </c>
      <c r="HP12" s="1196" t="s">
        <v>1197</v>
      </c>
      <c r="HQ12" s="716" t="s">
        <v>1198</v>
      </c>
      <c r="HR12" s="698" t="s">
        <v>315</v>
      </c>
      <c r="HS12" s="1196" t="s">
        <v>1199</v>
      </c>
      <c r="HT12" s="716" t="s">
        <v>1200</v>
      </c>
      <c r="HU12" s="698" t="s">
        <v>317</v>
      </c>
      <c r="HV12" s="1196" t="s">
        <v>1199</v>
      </c>
      <c r="HW12" s="716" t="s">
        <v>1200</v>
      </c>
      <c r="HX12" s="698" t="s">
        <v>315</v>
      </c>
      <c r="HY12" s="1196" t="s">
        <v>1199</v>
      </c>
      <c r="HZ12" s="716" t="s">
        <v>1200</v>
      </c>
      <c r="IA12" s="698" t="s">
        <v>317</v>
      </c>
      <c r="IB12" s="1196" t="s">
        <v>1199</v>
      </c>
      <c r="IC12" s="716" t="s">
        <v>1200</v>
      </c>
      <c r="ID12" s="1194" t="s">
        <v>315</v>
      </c>
      <c r="IE12" s="1196" t="s">
        <v>1199</v>
      </c>
      <c r="IF12" s="716" t="s">
        <v>1200</v>
      </c>
      <c r="IG12" s="704" t="s">
        <v>317</v>
      </c>
      <c r="IH12" s="1196" t="s">
        <v>1199</v>
      </c>
      <c r="II12" s="716" t="s">
        <v>1200</v>
      </c>
      <c r="IJ12" s="1194" t="s">
        <v>315</v>
      </c>
      <c r="IK12" s="1196" t="s">
        <v>1199</v>
      </c>
      <c r="IL12" s="716" t="s">
        <v>1200</v>
      </c>
      <c r="IM12" s="704" t="s">
        <v>317</v>
      </c>
      <c r="IN12" s="1196" t="s">
        <v>1199</v>
      </c>
      <c r="IO12" s="716" t="s">
        <v>1200</v>
      </c>
      <c r="IP12" s="1175" t="s">
        <v>315</v>
      </c>
      <c r="IQ12" s="1196" t="s">
        <v>1201</v>
      </c>
      <c r="IR12" s="716" t="s">
        <v>1202</v>
      </c>
      <c r="IS12" s="698" t="s">
        <v>317</v>
      </c>
      <c r="IT12" s="1196" t="s">
        <v>1201</v>
      </c>
      <c r="IU12" s="716" t="s">
        <v>1202</v>
      </c>
      <c r="IV12" s="1142" t="s">
        <v>315</v>
      </c>
      <c r="IW12" s="1196" t="s">
        <v>1201</v>
      </c>
      <c r="IX12" s="716" t="s">
        <v>1202</v>
      </c>
      <c r="IY12" s="1143" t="s">
        <v>317</v>
      </c>
      <c r="IZ12" s="1196" t="s">
        <v>1201</v>
      </c>
      <c r="JA12" s="716" t="s">
        <v>1202</v>
      </c>
      <c r="JB12" s="1192" t="s">
        <v>315</v>
      </c>
      <c r="JC12" s="1026" t="s">
        <v>317</v>
      </c>
      <c r="JD12" s="1192" t="s">
        <v>315</v>
      </c>
      <c r="JE12" s="1026" t="s">
        <v>317</v>
      </c>
      <c r="JF12" s="1175" t="s">
        <v>315</v>
      </c>
      <c r="JG12" s="1196" t="s">
        <v>1203</v>
      </c>
      <c r="JH12" s="716" t="s">
        <v>1204</v>
      </c>
      <c r="JI12" s="698" t="s">
        <v>317</v>
      </c>
      <c r="JJ12" s="1196" t="s">
        <v>1203</v>
      </c>
      <c r="JK12" s="716" t="s">
        <v>1204</v>
      </c>
      <c r="JL12" s="1175" t="s">
        <v>315</v>
      </c>
      <c r="JM12" s="1196" t="s">
        <v>1205</v>
      </c>
      <c r="JN12" s="716" t="s">
        <v>1206</v>
      </c>
      <c r="JO12" s="698" t="s">
        <v>317</v>
      </c>
      <c r="JP12" s="1196" t="s">
        <v>1205</v>
      </c>
      <c r="JQ12" s="716" t="s">
        <v>1206</v>
      </c>
      <c r="JR12" s="698" t="s">
        <v>315</v>
      </c>
      <c r="JS12" s="1196" t="s">
        <v>1207</v>
      </c>
      <c r="JT12" s="716" t="s">
        <v>1208</v>
      </c>
      <c r="JU12" s="698" t="s">
        <v>317</v>
      </c>
      <c r="JV12" s="1196" t="s">
        <v>1207</v>
      </c>
      <c r="JW12" s="716" t="s">
        <v>1208</v>
      </c>
      <c r="JX12" s="698" t="s">
        <v>315</v>
      </c>
      <c r="JY12" s="1196" t="s">
        <v>1207</v>
      </c>
      <c r="JZ12" s="716" t="s">
        <v>1208</v>
      </c>
      <c r="KA12" s="698" t="s">
        <v>317</v>
      </c>
      <c r="KB12" s="1196" t="s">
        <v>1207</v>
      </c>
      <c r="KC12" s="716" t="s">
        <v>1208</v>
      </c>
      <c r="KD12" s="704" t="s">
        <v>315</v>
      </c>
      <c r="KE12" s="1196" t="s">
        <v>1207</v>
      </c>
      <c r="KF12" s="716" t="s">
        <v>1208</v>
      </c>
      <c r="KG12" s="1194" t="s">
        <v>317</v>
      </c>
      <c r="KH12" s="1196" t="s">
        <v>1207</v>
      </c>
      <c r="KI12" s="716" t="s">
        <v>1208</v>
      </c>
      <c r="KJ12" s="704" t="s">
        <v>315</v>
      </c>
      <c r="KK12" s="1196" t="s">
        <v>1207</v>
      </c>
      <c r="KL12" s="716" t="s">
        <v>1208</v>
      </c>
      <c r="KM12" s="1195" t="s">
        <v>317</v>
      </c>
      <c r="KN12" s="1196" t="s">
        <v>1207</v>
      </c>
      <c r="KO12" s="716" t="s">
        <v>1208</v>
      </c>
      <c r="KP12" s="698" t="s">
        <v>315</v>
      </c>
      <c r="KQ12" s="1196" t="s">
        <v>1209</v>
      </c>
      <c r="KR12" s="716" t="s">
        <v>1210</v>
      </c>
      <c r="KS12" s="1196" t="s">
        <v>1211</v>
      </c>
      <c r="KT12" s="716" t="s">
        <v>1212</v>
      </c>
      <c r="KU12" s="698" t="s">
        <v>317</v>
      </c>
      <c r="KV12" s="1196" t="s">
        <v>1209</v>
      </c>
      <c r="KW12" s="716" t="s">
        <v>1210</v>
      </c>
      <c r="KX12" s="1196" t="s">
        <v>1211</v>
      </c>
      <c r="KY12" s="716" t="s">
        <v>1212</v>
      </c>
      <c r="KZ12" s="698" t="s">
        <v>315</v>
      </c>
      <c r="LA12" s="1196" t="s">
        <v>1209</v>
      </c>
      <c r="LB12" s="716" t="s">
        <v>1210</v>
      </c>
      <c r="LC12" s="1196" t="s">
        <v>1211</v>
      </c>
      <c r="LD12" s="716" t="s">
        <v>1212</v>
      </c>
      <c r="LE12" s="698" t="s">
        <v>317</v>
      </c>
      <c r="LF12" s="1196" t="s">
        <v>1209</v>
      </c>
      <c r="LG12" s="716" t="s">
        <v>1210</v>
      </c>
      <c r="LH12" s="1196" t="s">
        <v>1211</v>
      </c>
      <c r="LI12" s="716" t="s">
        <v>1212</v>
      </c>
      <c r="LJ12" s="704" t="s">
        <v>315</v>
      </c>
      <c r="LK12" s="1196" t="s">
        <v>1209</v>
      </c>
      <c r="LL12" s="716" t="s">
        <v>1210</v>
      </c>
      <c r="LM12" s="704" t="s">
        <v>317</v>
      </c>
      <c r="LN12" s="1196" t="s">
        <v>1209</v>
      </c>
      <c r="LO12" s="716" t="s">
        <v>1210</v>
      </c>
      <c r="LP12" s="1194" t="s">
        <v>315</v>
      </c>
      <c r="LQ12" s="1196" t="s">
        <v>1209</v>
      </c>
      <c r="LR12" s="716" t="s">
        <v>1210</v>
      </c>
      <c r="LS12" s="704" t="s">
        <v>317</v>
      </c>
      <c r="LT12" s="1196" t="s">
        <v>1209</v>
      </c>
      <c r="LU12" s="716" t="s">
        <v>1210</v>
      </c>
      <c r="LV12" s="698" t="s">
        <v>315</v>
      </c>
      <c r="LW12" s="1196" t="s">
        <v>581</v>
      </c>
      <c r="LX12" s="1196" t="s">
        <v>1213</v>
      </c>
      <c r="LY12" s="716" t="s">
        <v>1214</v>
      </c>
      <c r="LZ12" s="698" t="s">
        <v>317</v>
      </c>
      <c r="MA12" s="1196" t="s">
        <v>581</v>
      </c>
      <c r="MB12" s="1196" t="s">
        <v>1213</v>
      </c>
      <c r="MC12" s="716" t="s">
        <v>1214</v>
      </c>
      <c r="MD12" s="698" t="s">
        <v>315</v>
      </c>
      <c r="ME12" s="1196" t="s">
        <v>581</v>
      </c>
      <c r="MF12" s="1196" t="s">
        <v>1213</v>
      </c>
      <c r="MG12" s="716" t="s">
        <v>1214</v>
      </c>
      <c r="MH12" s="698" t="s">
        <v>317</v>
      </c>
      <c r="MI12" s="1196" t="s">
        <v>581</v>
      </c>
      <c r="MJ12" s="1196" t="s">
        <v>1213</v>
      </c>
      <c r="MK12" s="716" t="s">
        <v>1214</v>
      </c>
      <c r="ML12" s="1194" t="s">
        <v>315</v>
      </c>
      <c r="MM12" s="1196" t="s">
        <v>581</v>
      </c>
      <c r="MN12" s="1196" t="s">
        <v>1213</v>
      </c>
      <c r="MO12" s="716" t="s">
        <v>1214</v>
      </c>
      <c r="MP12" s="1194" t="s">
        <v>317</v>
      </c>
      <c r="MQ12" s="1196" t="s">
        <v>581</v>
      </c>
      <c r="MR12" s="1196" t="s">
        <v>1213</v>
      </c>
      <c r="MS12" s="716" t="s">
        <v>1214</v>
      </c>
      <c r="MT12" s="1194" t="s">
        <v>315</v>
      </c>
      <c r="MU12" s="1196" t="s">
        <v>581</v>
      </c>
      <c r="MV12" s="1196" t="s">
        <v>1213</v>
      </c>
      <c r="MW12" s="716" t="s">
        <v>1214</v>
      </c>
      <c r="MX12" s="1194" t="s">
        <v>317</v>
      </c>
      <c r="MY12" s="1196" t="s">
        <v>581</v>
      </c>
      <c r="MZ12" s="1196" t="s">
        <v>1213</v>
      </c>
      <c r="NA12" s="716" t="s">
        <v>1214</v>
      </c>
      <c r="NB12" s="1172" t="s">
        <v>315</v>
      </c>
      <c r="NC12" s="1196" t="s">
        <v>1215</v>
      </c>
      <c r="ND12" s="716" t="s">
        <v>1216</v>
      </c>
      <c r="NE12" s="1196" t="s">
        <v>1217</v>
      </c>
      <c r="NF12" s="716" t="s">
        <v>1218</v>
      </c>
      <c r="NG12" s="717" t="s">
        <v>561</v>
      </c>
      <c r="NH12" s="718" t="s">
        <v>1219</v>
      </c>
      <c r="NI12" s="719" t="s">
        <v>1220</v>
      </c>
      <c r="NJ12" s="698" t="s">
        <v>317</v>
      </c>
      <c r="NK12" s="1196" t="s">
        <v>1215</v>
      </c>
      <c r="NL12" s="716" t="s">
        <v>1216</v>
      </c>
      <c r="NM12" s="1196" t="s">
        <v>1217</v>
      </c>
      <c r="NN12" s="716" t="s">
        <v>1218</v>
      </c>
      <c r="NO12" s="717" t="s">
        <v>561</v>
      </c>
      <c r="NP12" s="718" t="s">
        <v>1219</v>
      </c>
      <c r="NQ12" s="716" t="s">
        <v>1220</v>
      </c>
      <c r="NR12" s="1173" t="s">
        <v>315</v>
      </c>
      <c r="NS12" s="718" t="s">
        <v>1219</v>
      </c>
      <c r="NT12" s="720" t="s">
        <v>1220</v>
      </c>
      <c r="NU12" s="698" t="s">
        <v>317</v>
      </c>
      <c r="NV12" s="718" t="s">
        <v>1219</v>
      </c>
      <c r="NW12" s="720" t="s">
        <v>1220</v>
      </c>
      <c r="NX12" s="1194" t="s">
        <v>315</v>
      </c>
      <c r="NY12" s="718" t="s">
        <v>1219</v>
      </c>
      <c r="NZ12" s="720" t="s">
        <v>1220</v>
      </c>
      <c r="OA12" s="1194" t="s">
        <v>317</v>
      </c>
      <c r="OB12" s="718" t="s">
        <v>1219</v>
      </c>
      <c r="OC12" s="720" t="s">
        <v>1220</v>
      </c>
      <c r="OD12" s="704" t="s">
        <v>315</v>
      </c>
      <c r="OE12" s="718" t="s">
        <v>1219</v>
      </c>
      <c r="OF12" s="720" t="s">
        <v>1220</v>
      </c>
      <c r="OG12" s="704" t="s">
        <v>317</v>
      </c>
      <c r="OH12" s="718" t="s">
        <v>1219</v>
      </c>
      <c r="OI12" s="720" t="s">
        <v>1220</v>
      </c>
      <c r="OJ12" s="698" t="s">
        <v>315</v>
      </c>
      <c r="OK12" s="700" t="s">
        <v>541</v>
      </c>
      <c r="OL12" s="721" t="s">
        <v>1221</v>
      </c>
      <c r="OM12" s="700" t="s">
        <v>544</v>
      </c>
      <c r="ON12" s="698" t="s">
        <v>317</v>
      </c>
      <c r="OO12" s="700" t="s">
        <v>541</v>
      </c>
      <c r="OP12" s="721" t="s">
        <v>1221</v>
      </c>
      <c r="OQ12" s="700" t="s">
        <v>544</v>
      </c>
      <c r="OR12" s="698" t="s">
        <v>315</v>
      </c>
      <c r="OS12" s="1197" t="s">
        <v>1222</v>
      </c>
      <c r="OT12" s="716" t="s">
        <v>1223</v>
      </c>
      <c r="OU12" s="718" t="s">
        <v>1224</v>
      </c>
      <c r="OV12" s="698" t="s">
        <v>317</v>
      </c>
      <c r="OW12" s="1197" t="s">
        <v>1222</v>
      </c>
      <c r="OX12" s="716" t="s">
        <v>1223</v>
      </c>
      <c r="OY12" s="718" t="s">
        <v>1224</v>
      </c>
      <c r="OZ12" s="698" t="s">
        <v>315</v>
      </c>
      <c r="PA12" s="1197" t="s">
        <v>1222</v>
      </c>
      <c r="PB12" s="716" t="s">
        <v>1223</v>
      </c>
      <c r="PC12" s="718" t="s">
        <v>1224</v>
      </c>
      <c r="PD12" s="1173" t="s">
        <v>317</v>
      </c>
      <c r="PE12" s="718" t="s">
        <v>1222</v>
      </c>
      <c r="PF12" s="716" t="s">
        <v>1223</v>
      </c>
      <c r="PG12" s="718" t="s">
        <v>1224</v>
      </c>
      <c r="PH12" s="704" t="s">
        <v>315</v>
      </c>
      <c r="PI12" s="1197" t="s">
        <v>1222</v>
      </c>
      <c r="PJ12" s="716" t="s">
        <v>1223</v>
      </c>
      <c r="PK12" s="718" t="s">
        <v>1224</v>
      </c>
      <c r="PL12" s="704" t="s">
        <v>317</v>
      </c>
      <c r="PM12" s="1197" t="s">
        <v>1222</v>
      </c>
      <c r="PN12" s="716" t="s">
        <v>1223</v>
      </c>
      <c r="PO12" s="718" t="s">
        <v>1224</v>
      </c>
      <c r="PP12" s="1194" t="s">
        <v>315</v>
      </c>
      <c r="PQ12" s="718" t="s">
        <v>1222</v>
      </c>
      <c r="PR12" s="716" t="s">
        <v>1223</v>
      </c>
      <c r="PS12" s="718" t="s">
        <v>1224</v>
      </c>
      <c r="PT12" s="704" t="s">
        <v>317</v>
      </c>
      <c r="PU12" s="1197" t="s">
        <v>1222</v>
      </c>
      <c r="PV12" s="716" t="s">
        <v>1223</v>
      </c>
      <c r="PW12" s="718" t="s">
        <v>1224</v>
      </c>
      <c r="PX12" s="698" t="s">
        <v>1225</v>
      </c>
      <c r="PY12" s="1180" t="s">
        <v>519</v>
      </c>
      <c r="PZ12" s="714" t="s">
        <v>1226</v>
      </c>
      <c r="QA12" s="700" t="s">
        <v>612</v>
      </c>
      <c r="QB12" s="714" t="s">
        <v>1240</v>
      </c>
      <c r="QC12" s="698" t="s">
        <v>317</v>
      </c>
      <c r="QD12" s="1180" t="s">
        <v>519</v>
      </c>
      <c r="QE12" s="714" t="s">
        <v>1226</v>
      </c>
      <c r="QF12" s="700" t="s">
        <v>612</v>
      </c>
      <c r="QG12" s="714" t="s">
        <v>1240</v>
      </c>
      <c r="QH12" s="698" t="s">
        <v>1225</v>
      </c>
      <c r="QI12" s="1180" t="s">
        <v>519</v>
      </c>
      <c r="QJ12" s="714" t="s">
        <v>1226</v>
      </c>
      <c r="QK12" s="698" t="s">
        <v>317</v>
      </c>
      <c r="QL12" s="1180" t="s">
        <v>519</v>
      </c>
      <c r="QM12" s="714" t="s">
        <v>1226</v>
      </c>
      <c r="QN12" s="704" t="s">
        <v>1225</v>
      </c>
      <c r="QO12" s="1180" t="s">
        <v>519</v>
      </c>
      <c r="QP12" s="714" t="s">
        <v>1226</v>
      </c>
      <c r="QQ12" s="704" t="s">
        <v>317</v>
      </c>
      <c r="QR12" s="1180" t="s">
        <v>519</v>
      </c>
      <c r="QS12" s="714" t="s">
        <v>1226</v>
      </c>
      <c r="QT12" s="704" t="s">
        <v>1225</v>
      </c>
      <c r="QU12" s="1180" t="s">
        <v>519</v>
      </c>
      <c r="QV12" s="714" t="s">
        <v>1226</v>
      </c>
      <c r="QW12" s="704" t="s">
        <v>317</v>
      </c>
      <c r="QX12" s="1180" t="s">
        <v>519</v>
      </c>
      <c r="QY12" s="714" t="s">
        <v>1226</v>
      </c>
      <c r="QZ12" s="1172" t="s">
        <v>315</v>
      </c>
      <c r="RA12" s="1196" t="s">
        <v>1227</v>
      </c>
      <c r="RB12" s="716" t="s">
        <v>1228</v>
      </c>
      <c r="RC12" s="698" t="s">
        <v>317</v>
      </c>
      <c r="RD12" s="1196" t="s">
        <v>1227</v>
      </c>
      <c r="RE12" s="716" t="s">
        <v>1228</v>
      </c>
      <c r="RF12" s="1172" t="s">
        <v>315</v>
      </c>
      <c r="RG12" s="1196" t="s">
        <v>1229</v>
      </c>
      <c r="RH12" s="716" t="s">
        <v>1230</v>
      </c>
      <c r="RI12" s="698" t="s">
        <v>317</v>
      </c>
      <c r="RJ12" s="1196" t="s">
        <v>1229</v>
      </c>
      <c r="RK12" s="716" t="s">
        <v>1230</v>
      </c>
      <c r="RL12" s="1172" t="s">
        <v>315</v>
      </c>
      <c r="RM12" s="1196" t="s">
        <v>1229</v>
      </c>
      <c r="RN12" s="716" t="s">
        <v>1230</v>
      </c>
      <c r="RO12" s="698" t="s">
        <v>317</v>
      </c>
      <c r="RP12" s="1196" t="s">
        <v>1229</v>
      </c>
      <c r="RQ12" s="716" t="s">
        <v>1230</v>
      </c>
      <c r="RR12" s="1194" t="s">
        <v>315</v>
      </c>
      <c r="RS12" s="1196" t="s">
        <v>1229</v>
      </c>
      <c r="RT12" s="716" t="s">
        <v>1230</v>
      </c>
      <c r="RU12" s="704" t="s">
        <v>317</v>
      </c>
      <c r="RV12" s="1196" t="s">
        <v>1229</v>
      </c>
      <c r="RW12" s="716" t="s">
        <v>1230</v>
      </c>
      <c r="RX12" s="1194" t="s">
        <v>315</v>
      </c>
      <c r="RY12" s="1196" t="s">
        <v>1229</v>
      </c>
      <c r="RZ12" s="716" t="s">
        <v>1230</v>
      </c>
      <c r="SA12" s="704" t="s">
        <v>317</v>
      </c>
      <c r="SB12" s="1196" t="s">
        <v>1229</v>
      </c>
      <c r="SC12" s="716" t="s">
        <v>1230</v>
      </c>
      <c r="SD12" s="1172" t="s">
        <v>315</v>
      </c>
      <c r="SE12" s="713" t="s">
        <v>1231</v>
      </c>
      <c r="SF12" s="712" t="s">
        <v>1232</v>
      </c>
      <c r="SG12" s="698" t="s">
        <v>317</v>
      </c>
      <c r="SH12" s="713" t="s">
        <v>1231</v>
      </c>
      <c r="SI12" s="712" t="s">
        <v>1232</v>
      </c>
      <c r="SJ12" s="1172" t="s">
        <v>315</v>
      </c>
      <c r="SK12" s="713" t="s">
        <v>1233</v>
      </c>
      <c r="SL12" s="713" t="s">
        <v>1357</v>
      </c>
      <c r="SM12" s="712" t="s">
        <v>1358</v>
      </c>
      <c r="SN12" s="698" t="s">
        <v>317</v>
      </c>
      <c r="SO12" s="708" t="s">
        <v>1233</v>
      </c>
      <c r="SP12" s="722" t="s">
        <v>1357</v>
      </c>
      <c r="SQ12" s="712" t="s">
        <v>1358</v>
      </c>
      <c r="SR12" s="1172" t="s">
        <v>315</v>
      </c>
      <c r="SS12" s="713" t="s">
        <v>1234</v>
      </c>
      <c r="ST12" s="712" t="s">
        <v>1235</v>
      </c>
      <c r="SU12" s="698" t="s">
        <v>317</v>
      </c>
      <c r="SV12" s="713" t="s">
        <v>1234</v>
      </c>
      <c r="SW12" s="712" t="s">
        <v>1235</v>
      </c>
      <c r="SX12" s="1176" t="s">
        <v>1225</v>
      </c>
      <c r="SY12" s="700" t="s">
        <v>1236</v>
      </c>
      <c r="SZ12" s="723" t="s">
        <v>1237</v>
      </c>
      <c r="TA12" s="1180" t="s">
        <v>1238</v>
      </c>
      <c r="TB12" s="714" t="s">
        <v>1239</v>
      </c>
      <c r="TC12" s="700" t="s">
        <v>612</v>
      </c>
      <c r="TD12" s="714" t="s">
        <v>1240</v>
      </c>
      <c r="TE12" s="698" t="s">
        <v>317</v>
      </c>
      <c r="TF12" s="700" t="s">
        <v>1236</v>
      </c>
      <c r="TG12" s="723" t="s">
        <v>1237</v>
      </c>
      <c r="TH12" s="1180" t="s">
        <v>1238</v>
      </c>
      <c r="TI12" s="714" t="s">
        <v>1239</v>
      </c>
      <c r="TJ12" s="1180" t="s">
        <v>612</v>
      </c>
      <c r="TK12" s="714" t="s">
        <v>1240</v>
      </c>
      <c r="TL12" s="698" t="s">
        <v>1225</v>
      </c>
      <c r="TM12" s="700" t="s">
        <v>1236</v>
      </c>
      <c r="TN12" s="723" t="s">
        <v>1237</v>
      </c>
      <c r="TO12" s="1180" t="s">
        <v>1238</v>
      </c>
      <c r="TP12" s="714" t="s">
        <v>1239</v>
      </c>
      <c r="TQ12" s="1180" t="s">
        <v>612</v>
      </c>
      <c r="TR12" s="714" t="s">
        <v>1240</v>
      </c>
      <c r="TS12" s="698" t="s">
        <v>317</v>
      </c>
      <c r="TT12" s="700" t="s">
        <v>1236</v>
      </c>
      <c r="TU12" s="723" t="s">
        <v>1237</v>
      </c>
      <c r="TV12" s="1180" t="s">
        <v>1238</v>
      </c>
      <c r="TW12" s="714" t="s">
        <v>1239</v>
      </c>
      <c r="TX12" s="1180" t="s">
        <v>612</v>
      </c>
      <c r="TY12" s="714" t="s">
        <v>1240</v>
      </c>
      <c r="TZ12" s="704" t="s">
        <v>1225</v>
      </c>
      <c r="UA12" s="700" t="s">
        <v>1236</v>
      </c>
      <c r="UB12" s="723" t="s">
        <v>1237</v>
      </c>
      <c r="UC12" s="1180" t="s">
        <v>1238</v>
      </c>
      <c r="UD12" s="714" t="s">
        <v>1239</v>
      </c>
      <c r="UE12" s="1180" t="s">
        <v>612</v>
      </c>
      <c r="UF12" s="714" t="s">
        <v>1240</v>
      </c>
      <c r="UG12" s="704" t="s">
        <v>317</v>
      </c>
      <c r="UH12" s="700" t="s">
        <v>1236</v>
      </c>
      <c r="UI12" s="723" t="s">
        <v>1237</v>
      </c>
      <c r="UJ12" s="1180" t="s">
        <v>1238</v>
      </c>
      <c r="UK12" s="714" t="s">
        <v>1239</v>
      </c>
      <c r="UL12" s="1180" t="s">
        <v>612</v>
      </c>
      <c r="UM12" s="714" t="s">
        <v>1240</v>
      </c>
      <c r="UN12" s="704" t="s">
        <v>1225</v>
      </c>
      <c r="UO12" s="700" t="s">
        <v>1236</v>
      </c>
      <c r="UP12" s="723" t="s">
        <v>1237</v>
      </c>
      <c r="UQ12" s="1180" t="s">
        <v>1238</v>
      </c>
      <c r="UR12" s="714" t="s">
        <v>1239</v>
      </c>
      <c r="US12" s="1180" t="s">
        <v>612</v>
      </c>
      <c r="UT12" s="714" t="s">
        <v>1240</v>
      </c>
      <c r="UU12" s="704" t="s">
        <v>317</v>
      </c>
      <c r="UV12" s="700" t="s">
        <v>1236</v>
      </c>
      <c r="UW12" s="723" t="s">
        <v>1237</v>
      </c>
      <c r="UX12" s="1180" t="s">
        <v>1238</v>
      </c>
      <c r="UY12" s="714" t="s">
        <v>1239</v>
      </c>
      <c r="UZ12" s="1180" t="s">
        <v>612</v>
      </c>
      <c r="VA12" s="714" t="s">
        <v>1240</v>
      </c>
      <c r="VB12" s="698" t="s">
        <v>315</v>
      </c>
      <c r="VC12" s="698" t="s">
        <v>317</v>
      </c>
      <c r="VD12" s="1172" t="s">
        <v>315</v>
      </c>
      <c r="VE12" s="698" t="s">
        <v>317</v>
      </c>
      <c r="VF12" s="1190" t="s">
        <v>315</v>
      </c>
      <c r="VG12" s="706" t="s">
        <v>317</v>
      </c>
      <c r="VH12" s="1190" t="s">
        <v>315</v>
      </c>
      <c r="VI12" s="706" t="s">
        <v>317</v>
      </c>
      <c r="VJ12" s="1452"/>
      <c r="VK12" s="1475"/>
      <c r="VL12" s="1538"/>
      <c r="VM12" s="1452"/>
      <c r="VN12" s="1476"/>
      <c r="VO12" s="1475"/>
      <c r="VP12" s="724" t="s">
        <v>315</v>
      </c>
      <c r="VQ12" s="725" t="s">
        <v>317</v>
      </c>
      <c r="VR12" s="724" t="s">
        <v>315</v>
      </c>
      <c r="VS12" s="726" t="s">
        <v>317</v>
      </c>
      <c r="VT12" s="724" t="s">
        <v>315</v>
      </c>
      <c r="VU12" s="725" t="s">
        <v>317</v>
      </c>
      <c r="VV12" s="724" t="s">
        <v>315</v>
      </c>
      <c r="VW12" s="725" t="s">
        <v>317</v>
      </c>
      <c r="VX12" s="727" t="s">
        <v>315</v>
      </c>
      <c r="VY12" s="724" t="s">
        <v>317</v>
      </c>
      <c r="VZ12" s="725" t="s">
        <v>315</v>
      </c>
      <c r="WA12" s="724" t="s">
        <v>317</v>
      </c>
      <c r="WB12" s="725" t="s">
        <v>315</v>
      </c>
      <c r="WC12" s="724" t="s">
        <v>317</v>
      </c>
      <c r="WD12" s="728" t="s">
        <v>315</v>
      </c>
      <c r="WE12" s="725" t="s">
        <v>317</v>
      </c>
      <c r="WF12" s="724" t="s">
        <v>315</v>
      </c>
      <c r="WG12" s="1179" t="s">
        <v>1241</v>
      </c>
      <c r="WH12" s="729" t="s">
        <v>1242</v>
      </c>
      <c r="WI12" s="724" t="s">
        <v>317</v>
      </c>
      <c r="WJ12" s="1179" t="s">
        <v>1241</v>
      </c>
      <c r="WK12" s="729" t="s">
        <v>1242</v>
      </c>
      <c r="WL12" s="724" t="s">
        <v>315</v>
      </c>
      <c r="WM12" s="730" t="s">
        <v>1243</v>
      </c>
      <c r="WN12" s="731" t="s">
        <v>1244</v>
      </c>
      <c r="WO12" s="724" t="s">
        <v>317</v>
      </c>
      <c r="WP12" s="732" t="s">
        <v>1243</v>
      </c>
      <c r="WQ12" s="731" t="s">
        <v>1244</v>
      </c>
      <c r="WR12" s="1456"/>
      <c r="WS12" s="1453"/>
      <c r="WT12" s="726" t="s">
        <v>315</v>
      </c>
      <c r="WU12" s="733" t="s">
        <v>406</v>
      </c>
      <c r="WV12" s="731" t="s">
        <v>406</v>
      </c>
      <c r="WW12" s="726" t="s">
        <v>317</v>
      </c>
      <c r="WX12" s="734" t="s">
        <v>406</v>
      </c>
      <c r="WY12" s="731" t="s">
        <v>406</v>
      </c>
      <c r="WZ12" s="726" t="s">
        <v>315</v>
      </c>
      <c r="XA12" s="735" t="s">
        <v>1245</v>
      </c>
      <c r="XB12" s="731" t="s">
        <v>1245</v>
      </c>
      <c r="XC12" s="726" t="s">
        <v>317</v>
      </c>
      <c r="XD12" s="734" t="s">
        <v>1245</v>
      </c>
      <c r="XE12" s="731" t="s">
        <v>1245</v>
      </c>
      <c r="XF12" s="724" t="s">
        <v>315</v>
      </c>
      <c r="XG12" s="735" t="s">
        <v>397</v>
      </c>
      <c r="XH12" s="731" t="s">
        <v>397</v>
      </c>
      <c r="XI12" s="724" t="s">
        <v>317</v>
      </c>
      <c r="XJ12" s="734" t="s">
        <v>397</v>
      </c>
      <c r="XK12" s="731" t="s">
        <v>397</v>
      </c>
      <c r="XL12" s="724" t="s">
        <v>315</v>
      </c>
      <c r="XM12" s="732" t="s">
        <v>391</v>
      </c>
      <c r="XN12" s="724" t="s">
        <v>317</v>
      </c>
      <c r="XO12" s="732" t="s">
        <v>391</v>
      </c>
      <c r="XP12" s="724" t="s">
        <v>315</v>
      </c>
      <c r="XQ12" s="732" t="s">
        <v>391</v>
      </c>
      <c r="XR12" s="724" t="s">
        <v>317</v>
      </c>
      <c r="XS12" s="736" t="s">
        <v>391</v>
      </c>
      <c r="XT12" s="737" t="s">
        <v>315</v>
      </c>
      <c r="XU12" s="738" t="s">
        <v>317</v>
      </c>
      <c r="XV12" s="737" t="s">
        <v>315</v>
      </c>
      <c r="XW12" s="738" t="s">
        <v>317</v>
      </c>
      <c r="XX12" s="724" t="s">
        <v>315</v>
      </c>
      <c r="XY12" s="739" t="s">
        <v>409</v>
      </c>
      <c r="XZ12" s="740" t="s">
        <v>400</v>
      </c>
      <c r="YA12" s="741" t="s">
        <v>393</v>
      </c>
      <c r="YB12" s="739" t="s">
        <v>386</v>
      </c>
      <c r="YC12" s="741" t="s">
        <v>388</v>
      </c>
      <c r="YD12" s="742" t="s">
        <v>415</v>
      </c>
      <c r="YE12" s="740" t="s">
        <v>412</v>
      </c>
      <c r="YF12" s="740" t="s">
        <v>378</v>
      </c>
      <c r="YG12" s="743" t="s">
        <v>380</v>
      </c>
      <c r="YH12" s="740" t="s">
        <v>382</v>
      </c>
      <c r="YI12" s="726" t="s">
        <v>317</v>
      </c>
      <c r="YJ12" s="744" t="s">
        <v>409</v>
      </c>
      <c r="YK12" s="741" t="s">
        <v>400</v>
      </c>
      <c r="YL12" s="741" t="s">
        <v>393</v>
      </c>
      <c r="YM12" s="741" t="s">
        <v>386</v>
      </c>
      <c r="YN12" s="745" t="s">
        <v>388</v>
      </c>
      <c r="YO12" s="741" t="s">
        <v>415</v>
      </c>
      <c r="YP12" s="741" t="s">
        <v>412</v>
      </c>
      <c r="YQ12" s="741" t="s">
        <v>378</v>
      </c>
      <c r="YR12" s="744" t="s">
        <v>380</v>
      </c>
      <c r="YS12" s="741" t="s">
        <v>382</v>
      </c>
      <c r="YT12" s="724" t="s">
        <v>315</v>
      </c>
      <c r="YU12" s="741" t="s">
        <v>393</v>
      </c>
      <c r="YV12" s="741" t="s">
        <v>388</v>
      </c>
      <c r="YW12" s="741" t="s">
        <v>415</v>
      </c>
      <c r="YX12" s="741" t="s">
        <v>412</v>
      </c>
      <c r="YY12" s="741" t="s">
        <v>382</v>
      </c>
      <c r="YZ12" s="724" t="s">
        <v>317</v>
      </c>
      <c r="ZA12" s="741" t="s">
        <v>393</v>
      </c>
      <c r="ZB12" s="745" t="s">
        <v>388</v>
      </c>
      <c r="ZC12" s="741" t="s">
        <v>415</v>
      </c>
      <c r="ZD12" s="741" t="s">
        <v>412</v>
      </c>
      <c r="ZE12" s="741" t="s">
        <v>382</v>
      </c>
      <c r="ZF12" s="746" t="s">
        <v>315</v>
      </c>
      <c r="ZG12" s="741" t="s">
        <v>393</v>
      </c>
      <c r="ZH12" s="745" t="s">
        <v>388</v>
      </c>
      <c r="ZI12" s="741" t="s">
        <v>415</v>
      </c>
      <c r="ZJ12" s="741" t="s">
        <v>412</v>
      </c>
      <c r="ZK12" s="741" t="s">
        <v>382</v>
      </c>
      <c r="ZL12" s="746" t="s">
        <v>317</v>
      </c>
      <c r="ZM12" s="741" t="s">
        <v>393</v>
      </c>
      <c r="ZN12" s="745" t="s">
        <v>388</v>
      </c>
      <c r="ZO12" s="741" t="s">
        <v>415</v>
      </c>
      <c r="ZP12" s="741" t="s">
        <v>412</v>
      </c>
      <c r="ZQ12" s="741" t="s">
        <v>382</v>
      </c>
      <c r="ZR12" s="746" t="s">
        <v>315</v>
      </c>
      <c r="ZS12" s="741" t="s">
        <v>393</v>
      </c>
      <c r="ZT12" s="739" t="s">
        <v>388</v>
      </c>
      <c r="ZU12" s="741" t="s">
        <v>415</v>
      </c>
      <c r="ZV12" s="741" t="s">
        <v>412</v>
      </c>
      <c r="ZW12" s="741" t="s">
        <v>382</v>
      </c>
      <c r="ZX12" s="747" t="s">
        <v>317</v>
      </c>
      <c r="ZY12" s="741" t="s">
        <v>393</v>
      </c>
      <c r="ZZ12" s="745" t="s">
        <v>388</v>
      </c>
      <c r="AAA12" s="741" t="s">
        <v>415</v>
      </c>
      <c r="AAB12" s="741" t="s">
        <v>412</v>
      </c>
      <c r="AAC12" s="741" t="s">
        <v>382</v>
      </c>
      <c r="AAD12" s="1453"/>
      <c r="AAE12" s="1453"/>
      <c r="AAF12" s="727" t="s">
        <v>315</v>
      </c>
      <c r="AAG12" s="726" t="s">
        <v>317</v>
      </c>
      <c r="AAH12" s="727" t="s">
        <v>315</v>
      </c>
      <c r="AAI12" s="726" t="s">
        <v>317</v>
      </c>
      <c r="AAJ12" s="748" t="s">
        <v>315</v>
      </c>
      <c r="AAK12" s="747" t="s">
        <v>317</v>
      </c>
      <c r="AAL12" s="748" t="s">
        <v>315</v>
      </c>
      <c r="AAM12" s="746" t="s">
        <v>317</v>
      </c>
      <c r="AAN12" s="1187" t="s">
        <v>315</v>
      </c>
      <c r="AAO12" s="726" t="s">
        <v>317</v>
      </c>
      <c r="AAP12" s="727" t="s">
        <v>315</v>
      </c>
      <c r="AAQ12" s="724" t="s">
        <v>317</v>
      </c>
      <c r="AAR12" s="746" t="s">
        <v>315</v>
      </c>
      <c r="AAS12" s="746" t="s">
        <v>317</v>
      </c>
      <c r="AAT12" s="746" t="s">
        <v>315</v>
      </c>
      <c r="AAU12" s="746" t="s">
        <v>317</v>
      </c>
      <c r="AAV12" s="1185" t="s">
        <v>1246</v>
      </c>
      <c r="AAW12" s="1185" t="s">
        <v>1247</v>
      </c>
    </row>
    <row r="13" spans="1:725" ht="24" customHeight="1" x14ac:dyDescent="0.25">
      <c r="A13" s="749" t="s">
        <v>1301</v>
      </c>
      <c r="B13" s="973">
        <f>D13+AN13+'Проверочная  таблица'!VJ13+'Проверочная  таблица'!WR13</f>
        <v>562433222.40999997</v>
      </c>
      <c r="C13" s="935">
        <f>E13+'Проверочная  таблица'!VM13+AO13+'Проверочная  таблица'!WS13</f>
        <v>214545049.62</v>
      </c>
      <c r="D13" s="1216">
        <f t="shared" ref="D13:D30" si="0">F13+P13+N13+V13+AD13+H13</f>
        <v>158903877</v>
      </c>
      <c r="E13" s="779">
        <f t="shared" ref="E13:E30" si="1">G13+Q13+O13+Z13+AG13+I13</f>
        <v>79920000</v>
      </c>
      <c r="F13" s="1217">
        <f>'[1]Дотация  из  ОБ_факт'!M8</f>
        <v>158003877</v>
      </c>
      <c r="G13" s="1218">
        <v>79020000</v>
      </c>
      <c r="H13" s="1217">
        <f>'[1]Дотация  из  ОБ_факт'!G8</f>
        <v>0</v>
      </c>
      <c r="I13" s="1218"/>
      <c r="J13" s="1219">
        <f t="shared" ref="J13:K30" si="2">H13-L13</f>
        <v>0</v>
      </c>
      <c r="K13" s="1220">
        <f t="shared" si="2"/>
        <v>0</v>
      </c>
      <c r="L13" s="1219">
        <f>'[1]Дотация  из  ОБ_факт'!K8</f>
        <v>0</v>
      </c>
      <c r="M13" s="750"/>
      <c r="N13" s="1217">
        <f>'[1]Дотация  из  ОБ_факт'!Q8</f>
        <v>0</v>
      </c>
      <c r="O13" s="1218"/>
      <c r="P13" s="1217">
        <f>'[1]Дотация  из  ОБ_факт'!S8</f>
        <v>0</v>
      </c>
      <c r="Q13" s="1218"/>
      <c r="R13" s="1219">
        <f t="shared" ref="R13:S30" si="3">P13-T13</f>
        <v>0</v>
      </c>
      <c r="S13" s="1220">
        <f t="shared" si="3"/>
        <v>0</v>
      </c>
      <c r="T13" s="1219">
        <f>'[1]Дотация  из  ОБ_факт'!W8</f>
        <v>0</v>
      </c>
      <c r="U13" s="750"/>
      <c r="V13" s="961">
        <f t="shared" ref="V13:V30" si="4">SUM(W13:Y13)</f>
        <v>900000</v>
      </c>
      <c r="W13" s="1221">
        <f>'[1]Дотация  из  ОБ_факт'!$AA$8</f>
        <v>0</v>
      </c>
      <c r="X13" s="1222">
        <f>'[1]Дотация  из  ОБ_факт'!$AC$8</f>
        <v>900000</v>
      </c>
      <c r="Y13" s="1222">
        <f>'[1]Дотация  из  ОБ_факт'!$AG$8</f>
        <v>0</v>
      </c>
      <c r="Z13" s="1223">
        <f t="shared" ref="Z13:Z30" si="5">SUM(AA13:AC13)</f>
        <v>900000</v>
      </c>
      <c r="AA13" s="751">
        <f>W13</f>
        <v>0</v>
      </c>
      <c r="AB13" s="751">
        <f>X13</f>
        <v>900000</v>
      </c>
      <c r="AC13" s="751"/>
      <c r="AD13" s="961">
        <f t="shared" ref="AD13:AD30" si="6">SUM(AE13:AF13)</f>
        <v>0</v>
      </c>
      <c r="AE13" s="1221">
        <f>'[1]Дотация  из  ОБ_факт'!$Y$8</f>
        <v>0</v>
      </c>
      <c r="AF13" s="1222">
        <f>'[1]Дотация  из  ОБ_факт'!$AE$8</f>
        <v>0</v>
      </c>
      <c r="AG13" s="961">
        <f t="shared" ref="AG13:AG30" si="7">SUM(AH13:AI13)</f>
        <v>0</v>
      </c>
      <c r="AH13" s="752"/>
      <c r="AI13" s="751"/>
      <c r="AJ13" s="1219">
        <f t="shared" ref="AJ13:AJ30" si="8">AD13-AL13</f>
        <v>0</v>
      </c>
      <c r="AK13" s="1220">
        <f t="shared" ref="AK13:AK30" si="9">AG13-AM13</f>
        <v>0</v>
      </c>
      <c r="AL13" s="1219">
        <f>'[1]Дотация  из  ОБ_факт'!AE8</f>
        <v>0</v>
      </c>
      <c r="AM13" s="753"/>
      <c r="AN13" s="919">
        <f>'Проверочная  таблица'!VB13+'Проверочная  таблица'!VD13+BT13+BV13+CH13+CJ13+BH13+BL13+'Проверочная  таблица'!NB13+'Проверочная  таблица'!NR13+'Проверочная  таблица'!EB13+'Проверочная  таблица'!OJ13+DT13+'Проверочная  таблица'!JR13+'Проверочная  таблица'!JX13+'Проверочная  таблица'!OR13+'Проверочная  таблица'!OZ13+JL13+AP13+AV13+FB13+FH13+CV13+SX13+EH13+TL13+QH13+EN13+EV13+LV13+MD13+SR13+GV13+SD13+RF13+KP13+KZ13+RL13+SJ13+CP13+QZ13+HL13+GF13+HR13+HX13+FZ13+DJ13+PX13+CB13+IP13+JF13+HD13+GL13+IV13</f>
        <v>164490647.13</v>
      </c>
      <c r="AO13" s="920">
        <f>'Проверочная  таблица'!VC13+'Проверочная  таблица'!VE13+BU13+BW13+CI13+CK13+BJ13+BN13+'Проверочная  таблица'!NJ13+'Проверочная  таблица'!NU13+'Проверочная  таблица'!EE13+'Проверочная  таблица'!ON13+DX13+'Проверочная  таблица'!JU13+'Проверочная  таблица'!KA13+'Проверочная  таблица'!OV13+'Проверочная  таблица'!PD13+JO13+AS13+AX13+FE13+FK13+DC13+TE13+EK13+TS13+QK13+ER13+EY13+LZ13+MH13+SU13+GZ13+SG13+RI13+KU13+LE13+RO13+SN13+CS13+RC13+HO13+GI13+HU13+IA13+GC13+DM13+QC13+CE13+IS13+JI13+HF13+GO13+IY13</f>
        <v>13701716.34</v>
      </c>
      <c r="AP13" s="942">
        <f t="shared" ref="AP13:AP30" si="10">SUM(AQ13:AR13)</f>
        <v>43666625.600000001</v>
      </c>
      <c r="AQ13" s="755">
        <f>[1]Субсидия_факт!HV10</f>
        <v>43666625.600000001</v>
      </c>
      <c r="AR13" s="754">
        <f>[1]Субсидия_факт!MR10</f>
        <v>0</v>
      </c>
      <c r="AS13" s="921">
        <f t="shared" ref="AS13:AS30" si="11">SUM(AT13:AU13)</f>
        <v>0</v>
      </c>
      <c r="AT13" s="754">
        <v>0</v>
      </c>
      <c r="AU13" s="755"/>
      <c r="AV13" s="910">
        <f t="shared" ref="AV13:AV30" si="12">SUM(AW13:AW13)</f>
        <v>0</v>
      </c>
      <c r="AW13" s="754">
        <f>[1]Субсидия_факт!MV10</f>
        <v>0</v>
      </c>
      <c r="AX13" s="1224">
        <f t="shared" ref="AX13:AX30" si="13">SUM(AY13:AY13)</f>
        <v>0</v>
      </c>
      <c r="AY13" s="754"/>
      <c r="AZ13" s="1225">
        <f t="shared" ref="AZ13:AZ30" si="14">SUM(BA13:BA13)</f>
        <v>0</v>
      </c>
      <c r="BA13" s="754">
        <f t="shared" ref="BA13:BA30" si="15">AW13-BE13</f>
        <v>0</v>
      </c>
      <c r="BB13" s="782">
        <f t="shared" ref="BB13:BB30" si="16">SUM(BC13:BC13)</f>
        <v>0</v>
      </c>
      <c r="BC13" s="755">
        <f t="shared" ref="BC13:BC30" si="17">AY13-BG13</f>
        <v>0</v>
      </c>
      <c r="BD13" s="782">
        <f t="shared" ref="BD13:BD30" si="18">SUM(BE13:BE13)</f>
        <v>0</v>
      </c>
      <c r="BE13" s="754">
        <f>[1]Субсидия_факт!MX10</f>
        <v>0</v>
      </c>
      <c r="BF13" s="1226">
        <f t="shared" ref="BF13:BF30" si="19">SUM(BG13:BG13)</f>
        <v>0</v>
      </c>
      <c r="BG13" s="754"/>
      <c r="BH13" s="779">
        <f t="shared" ref="BH13:BH30" si="20">SUM(BI13:BI13)</f>
        <v>0</v>
      </c>
      <c r="BI13" s="754">
        <f>[1]Субсидия_факт!KZ10</f>
        <v>0</v>
      </c>
      <c r="BJ13" s="910">
        <f t="shared" ref="BJ13:BJ30" si="21">SUM(BK13:BK13)</f>
        <v>0</v>
      </c>
      <c r="BK13" s="754"/>
      <c r="BL13" s="779">
        <f t="shared" ref="BL13:BL30" si="22">SUM(BM13:BM13)</f>
        <v>0</v>
      </c>
      <c r="BM13" s="754">
        <f>[1]Субсидия_факт!LB10</f>
        <v>0</v>
      </c>
      <c r="BN13" s="910">
        <f t="shared" ref="BN13:BN30" si="23">SUM(BO13:BO13)</f>
        <v>0</v>
      </c>
      <c r="BO13" s="754"/>
      <c r="BP13" s="974">
        <f t="shared" ref="BP13:BP30" si="24">BL13-BR13</f>
        <v>0</v>
      </c>
      <c r="BQ13" s="967">
        <f t="shared" ref="BQ13:BQ30" si="25">BN13-BS13</f>
        <v>0</v>
      </c>
      <c r="BR13" s="1227">
        <f t="shared" ref="BR13:BR30" si="26">BL13</f>
        <v>0</v>
      </c>
      <c r="BS13" s="974">
        <f t="shared" ref="BS13:BS30" si="27">BN13</f>
        <v>0</v>
      </c>
      <c r="BT13" s="779">
        <f>[1]Субсидия_факт!GV10</f>
        <v>0</v>
      </c>
      <c r="BU13" s="756"/>
      <c r="BV13" s="1228">
        <f>[1]Субсидия_факт!GX10</f>
        <v>0</v>
      </c>
      <c r="BW13" s="757"/>
      <c r="BX13" s="1229">
        <f t="shared" ref="BX13:BY28" si="28">BV13-BZ13</f>
        <v>0</v>
      </c>
      <c r="BY13" s="1230">
        <f t="shared" si="28"/>
        <v>0</v>
      </c>
      <c r="BZ13" s="781">
        <f>[1]Субсидия_факт!GZ10</f>
        <v>0</v>
      </c>
      <c r="CA13" s="758"/>
      <c r="CB13" s="846">
        <f t="shared" ref="CB13:CB30" si="29">SUM(CC13:CD13)</f>
        <v>48465625.600000001</v>
      </c>
      <c r="CC13" s="1231">
        <f>[1]Субсидия_факт!HL10</f>
        <v>43666625.600000001</v>
      </c>
      <c r="CD13" s="761">
        <f>[1]Субсидия_факт!HN10</f>
        <v>4799000</v>
      </c>
      <c r="CE13" s="921">
        <f t="shared" ref="CE13:CE30" si="30">SUM(CF13:CG13)</f>
        <v>0</v>
      </c>
      <c r="CF13" s="761"/>
      <c r="CG13" s="761"/>
      <c r="CH13" s="1232">
        <f>[1]Субсидия_факт!HB10</f>
        <v>0</v>
      </c>
      <c r="CI13" s="759"/>
      <c r="CJ13" s="1232">
        <f>[1]Субсидия_факт!HD10</f>
        <v>0</v>
      </c>
      <c r="CK13" s="760"/>
      <c r="CL13" s="1226">
        <f t="shared" ref="CL13:CM28" si="31">CJ13-CN13</f>
        <v>0</v>
      </c>
      <c r="CM13" s="782">
        <f t="shared" si="31"/>
        <v>0</v>
      </c>
      <c r="CN13" s="1225">
        <f>[1]Субсидия_факт!HF10</f>
        <v>0</v>
      </c>
      <c r="CO13" s="753"/>
      <c r="CP13" s="846">
        <f t="shared" ref="CP13:CP30" si="32">SUM(CQ13:CR13)</f>
        <v>2291323.2400000002</v>
      </c>
      <c r="CQ13" s="1231">
        <f>[1]Субсидия_факт!HP10</f>
        <v>0</v>
      </c>
      <c r="CR13" s="761">
        <f>[1]Субсидия_факт!HR10</f>
        <v>2291323.2400000002</v>
      </c>
      <c r="CS13" s="921">
        <f t="shared" ref="CS13:CS30" si="33">SUM(CT13:CU13)</f>
        <v>0</v>
      </c>
      <c r="CT13" s="761"/>
      <c r="CU13" s="761"/>
      <c r="CV13" s="910">
        <f t="shared" ref="CV13:CV30" si="34">SUM(CW13:DB13)</f>
        <v>0</v>
      </c>
      <c r="CW13" s="763">
        <f>[1]Субсидия_факт!LR10</f>
        <v>0</v>
      </c>
      <c r="CX13" s="762">
        <f>[1]Субсидия_факт!LT10</f>
        <v>0</v>
      </c>
      <c r="CY13" s="754">
        <f>[1]Субсидия_факт!LV10</f>
        <v>0</v>
      </c>
      <c r="CZ13" s="762">
        <f>[1]Субсидия_факт!MB10</f>
        <v>0</v>
      </c>
      <c r="DA13" s="754">
        <f>[1]Субсидия_факт!MH10</f>
        <v>0</v>
      </c>
      <c r="DB13" s="762">
        <f>[1]Субсидия_факт!MJ10</f>
        <v>0</v>
      </c>
      <c r="DC13" s="910">
        <f t="shared" ref="DC13:DC30" si="35">SUM(DD13:DI13)</f>
        <v>0</v>
      </c>
      <c r="DD13" s="755"/>
      <c r="DE13" s="762"/>
      <c r="DF13" s="754"/>
      <c r="DG13" s="762"/>
      <c r="DH13" s="754"/>
      <c r="DI13" s="762"/>
      <c r="DJ13" s="920">
        <f t="shared" ref="DJ13" si="36">SUM(DK13:DL13)</f>
        <v>0</v>
      </c>
      <c r="DK13" s="763">
        <f>[1]Субсидия_факт!LX10</f>
        <v>0</v>
      </c>
      <c r="DL13" s="762">
        <f>[1]Субсидия_факт!MD10</f>
        <v>0</v>
      </c>
      <c r="DM13" s="910">
        <f t="shared" ref="DM13:DM30" si="37">SUM(DN13:DO13)</f>
        <v>0</v>
      </c>
      <c r="DN13" s="763"/>
      <c r="DO13" s="764"/>
      <c r="DP13" s="1226">
        <f>DJ13-DR13</f>
        <v>0</v>
      </c>
      <c r="DQ13" s="782">
        <f>DM13-DS13</f>
        <v>0</v>
      </c>
      <c r="DR13" s="1225">
        <f>DJ13</f>
        <v>0</v>
      </c>
      <c r="DS13" s="753">
        <f>DM13</f>
        <v>0</v>
      </c>
      <c r="DT13" s="1232">
        <f>SUM(DU13:DW13)</f>
        <v>0</v>
      </c>
      <c r="DU13" s="778">
        <f>[1]Субсидия_факт!R10</f>
        <v>0</v>
      </c>
      <c r="DV13" s="1231">
        <f>[1]Субсидия_факт!T10</f>
        <v>0</v>
      </c>
      <c r="DW13" s="761">
        <f>[1]Субсидия_факт!V10</f>
        <v>0</v>
      </c>
      <c r="DX13" s="1232">
        <f>SUM(DY13:EA13)</f>
        <v>0</v>
      </c>
      <c r="DY13" s="765"/>
      <c r="DZ13" s="765"/>
      <c r="EA13" s="765"/>
      <c r="EB13" s="846">
        <f t="shared" ref="EB13:EB30" si="38">SUM(EC13:ED13)</f>
        <v>0</v>
      </c>
      <c r="EC13" s="1231">
        <f>[1]Субсидия_факт!AX10</f>
        <v>0</v>
      </c>
      <c r="ED13" s="764">
        <f>[1]Субсидия_факт!AZ10</f>
        <v>0</v>
      </c>
      <c r="EE13" s="910">
        <f t="shared" ref="EE13:EE26" si="39">SUM(EF13:EG13)</f>
        <v>0</v>
      </c>
      <c r="EF13" s="755"/>
      <c r="EG13" s="762"/>
      <c r="EH13" s="920">
        <f t="shared" ref="EH13:EH30" si="40">SUM(EI13:EJ13)</f>
        <v>0</v>
      </c>
      <c r="EI13" s="763">
        <f>[1]Субсидия_факт!X10</f>
        <v>0</v>
      </c>
      <c r="EJ13" s="764">
        <f>[1]Субсидия_факт!Z10</f>
        <v>0</v>
      </c>
      <c r="EK13" s="910">
        <f t="shared" ref="EK13:EK30" si="41">SUM(EL13:EM13)</f>
        <v>0</v>
      </c>
      <c r="EL13" s="766"/>
      <c r="EM13" s="767"/>
      <c r="EN13" s="920">
        <f>SUM(EO13:EQ13)</f>
        <v>0</v>
      </c>
      <c r="EO13" s="763">
        <f>[1]Субсидия_факт!AP10</f>
        <v>0</v>
      </c>
      <c r="EP13" s="763">
        <f>[1]Субсидия_факт!AL10</f>
        <v>0</v>
      </c>
      <c r="EQ13" s="764">
        <f>[1]Субсидия_факт!AN10</f>
        <v>0</v>
      </c>
      <c r="ER13" s="920">
        <f t="shared" ref="ER13:ER30" si="42">SUM(ES13:EU13)</f>
        <v>0</v>
      </c>
      <c r="ES13" s="763"/>
      <c r="ET13" s="763"/>
      <c r="EU13" s="764"/>
      <c r="EV13" s="920">
        <f t="shared" ref="EV13:EV30" si="43">SUM(EW13:EX13)</f>
        <v>0</v>
      </c>
      <c r="EW13" s="763">
        <f>[1]Субсидия_факт!HH10</f>
        <v>0</v>
      </c>
      <c r="EX13" s="762">
        <f>[1]Субсидия_факт!HJ10</f>
        <v>0</v>
      </c>
      <c r="EY13" s="910">
        <f t="shared" ref="EY13:EY30" si="44">SUM(EZ13:FA13)</f>
        <v>0</v>
      </c>
      <c r="EZ13" s="763"/>
      <c r="FA13" s="762"/>
      <c r="FB13" s="920">
        <f t="shared" ref="FB13:FB30" si="45">SUM(FC13:FD13)</f>
        <v>0</v>
      </c>
      <c r="FC13" s="766">
        <f>[1]Субсидия_факт!PK10</f>
        <v>0</v>
      </c>
      <c r="FD13" s="767">
        <f>[1]Субсидия_факт!PQ10</f>
        <v>0</v>
      </c>
      <c r="FE13" s="910">
        <f t="shared" ref="FE13:FE30" si="46">SUM(FF13:FG13)</f>
        <v>0</v>
      </c>
      <c r="FF13" s="763"/>
      <c r="FG13" s="764"/>
      <c r="FH13" s="920">
        <f t="shared" ref="FH13:FH30" si="47">SUM(FI13:FJ13)</f>
        <v>0</v>
      </c>
      <c r="FI13" s="763">
        <f>[1]Субсидия_факт!PM10</f>
        <v>0</v>
      </c>
      <c r="FJ13" s="762">
        <f>[1]Субсидия_факт!PS10</f>
        <v>0</v>
      </c>
      <c r="FK13" s="910">
        <f t="shared" ref="FK13:FK30" si="48">SUM(FL13:FM13)</f>
        <v>0</v>
      </c>
      <c r="FL13" s="763"/>
      <c r="FM13" s="764"/>
      <c r="FN13" s="1233">
        <f t="shared" ref="FN13:FN30" si="49">SUM(FO13:FP13)</f>
        <v>0</v>
      </c>
      <c r="FO13" s="763">
        <f t="shared" ref="FO13:FP28" si="50">FI13-FU13</f>
        <v>0</v>
      </c>
      <c r="FP13" s="762">
        <f t="shared" si="50"/>
        <v>0</v>
      </c>
      <c r="FQ13" s="782">
        <f t="shared" ref="FQ13:FQ30" si="51">SUM(FR13:FS13)</f>
        <v>0</v>
      </c>
      <c r="FR13" s="763">
        <f t="shared" ref="FR13:FS28" si="52">FL13-FX13</f>
        <v>0</v>
      </c>
      <c r="FS13" s="762">
        <f t="shared" si="52"/>
        <v>0</v>
      </c>
      <c r="FT13" s="1233">
        <f t="shared" ref="FT13:FT30" si="53">SUM(FU13:FV13)</f>
        <v>0</v>
      </c>
      <c r="FU13" s="763">
        <f>[1]Субсидия_факт!PO10</f>
        <v>0</v>
      </c>
      <c r="FV13" s="762">
        <f>[1]Субсидия_факт!PU10</f>
        <v>0</v>
      </c>
      <c r="FW13" s="782">
        <f t="shared" ref="FW13:FW30" si="54">SUM(FX13:FY13)</f>
        <v>0</v>
      </c>
      <c r="FX13" s="763"/>
      <c r="FY13" s="764"/>
      <c r="FZ13" s="920">
        <f t="shared" ref="FZ13:FZ30" si="55">SUM(GA13:GB13)</f>
        <v>0</v>
      </c>
      <c r="GA13" s="763">
        <f>[1]Субсидия_факт!EP10</f>
        <v>0</v>
      </c>
      <c r="GB13" s="764">
        <f>[1]Субсидия_факт!ER10</f>
        <v>0</v>
      </c>
      <c r="GC13" s="919">
        <f t="shared" ref="GC13:GC30" si="56">SUM(GD13:GE13)</f>
        <v>0</v>
      </c>
      <c r="GD13" s="763"/>
      <c r="GE13" s="764"/>
      <c r="GF13" s="846">
        <f t="shared" ref="GF13:GF30" si="57">SUM(GG13:GH13)</f>
        <v>0</v>
      </c>
      <c r="GG13" s="812">
        <f>[1]Субсидия_факт!JN10</f>
        <v>0</v>
      </c>
      <c r="GH13" s="813">
        <f>[1]Субсидия_факт!JP10</f>
        <v>0</v>
      </c>
      <c r="GI13" s="846">
        <f t="shared" ref="GI13:GI30" si="58">SUM(GJ13:GK13)</f>
        <v>0</v>
      </c>
      <c r="GJ13" s="812"/>
      <c r="GK13" s="813"/>
      <c r="GL13" s="936">
        <f t="shared" ref="GL13:GL30" si="59">SUM(GM13:GN13)</f>
        <v>0</v>
      </c>
      <c r="GM13" s="763">
        <f>[1]Субсидия_факт!JR10</f>
        <v>0</v>
      </c>
      <c r="GN13" s="764">
        <f>[1]Субсидия_факт!JV10</f>
        <v>0</v>
      </c>
      <c r="GO13" s="1233">
        <f t="shared" ref="GO13:GO30" si="60">SUM(GP13:GQ13)</f>
        <v>0</v>
      </c>
      <c r="GP13" s="763"/>
      <c r="GQ13" s="762"/>
      <c r="GR13" s="1230">
        <f>GL13-GT13</f>
        <v>0</v>
      </c>
      <c r="GS13" s="781">
        <f>GO13-GU13</f>
        <v>0</v>
      </c>
      <c r="GT13" s="1229">
        <f>GL13</f>
        <v>0</v>
      </c>
      <c r="GU13" s="781">
        <f>GO13</f>
        <v>0</v>
      </c>
      <c r="GV13" s="1234">
        <f t="shared" ref="GV13:GV30" si="61">SUM(GW13:GY13)</f>
        <v>0</v>
      </c>
      <c r="GW13" s="763">
        <f>[1]Субсидия_факт!KL10</f>
        <v>0</v>
      </c>
      <c r="GX13" s="764">
        <f>[1]Субсидия_факт!KN10</f>
        <v>0</v>
      </c>
      <c r="GY13" s="763">
        <f>[1]Субсидия_факт!KP10</f>
        <v>0</v>
      </c>
      <c r="GZ13" s="801">
        <f t="shared" ref="GZ13:GZ30" si="62">SUM(HA13:HC13)</f>
        <v>0</v>
      </c>
      <c r="HA13" s="763"/>
      <c r="HB13" s="764"/>
      <c r="HC13" s="754"/>
      <c r="HD13" s="1235">
        <f>HE13</f>
        <v>0</v>
      </c>
      <c r="HE13" s="763">
        <f>[1]Субсидия_факт!KR10</f>
        <v>0</v>
      </c>
      <c r="HF13" s="1235">
        <f>HG13</f>
        <v>0</v>
      </c>
      <c r="HG13" s="754"/>
      <c r="HH13" s="1235">
        <f>HD13-HJ13</f>
        <v>0</v>
      </c>
      <c r="HI13" s="1235">
        <f>HF13-HK13</f>
        <v>0</v>
      </c>
      <c r="HJ13" s="1235">
        <f>HD13</f>
        <v>0</v>
      </c>
      <c r="HK13" s="1235">
        <f>HF13</f>
        <v>0</v>
      </c>
      <c r="HL13" s="964">
        <f t="shared" ref="HL13:HL30" si="63">SUM(HM13:HN13)</f>
        <v>0</v>
      </c>
      <c r="HM13" s="763">
        <f>[1]Субсидия_факт!KV10</f>
        <v>0</v>
      </c>
      <c r="HN13" s="764">
        <f>[1]Субсидия_факт!KX10</f>
        <v>0</v>
      </c>
      <c r="HO13" s="910">
        <f t="shared" ref="HO13:HO30" si="64">SUM(HP13:HQ13)</f>
        <v>0</v>
      </c>
      <c r="HP13" s="763"/>
      <c r="HQ13" s="764"/>
      <c r="HR13" s="964">
        <f t="shared" ref="HR13:HR30" si="65">SUM(HS13:HT13)</f>
        <v>0</v>
      </c>
      <c r="HS13" s="812"/>
      <c r="HT13" s="813"/>
      <c r="HU13" s="921">
        <f t="shared" ref="HU13:HU30" si="66">SUM(HV13:HW13)</f>
        <v>0</v>
      </c>
      <c r="HV13" s="812"/>
      <c r="HW13" s="813"/>
      <c r="HX13" s="964">
        <f t="shared" ref="HX13:HX30" si="67">SUM(HY13:HZ13)</f>
        <v>0</v>
      </c>
      <c r="HY13" s="763">
        <f>[1]Субсидия_факт!FV10</f>
        <v>0</v>
      </c>
      <c r="HZ13" s="764">
        <f>[1]Субсидия_факт!FZ10</f>
        <v>0</v>
      </c>
      <c r="IA13" s="910">
        <f t="shared" ref="IA13:IA30" si="68">SUM(IB13:IC13)</f>
        <v>0</v>
      </c>
      <c r="IB13" s="763"/>
      <c r="IC13" s="764"/>
      <c r="ID13" s="1233">
        <f t="shared" ref="ID13:ID30" si="69">SUM(IE13:IF13)</f>
        <v>0</v>
      </c>
      <c r="IE13" s="763">
        <f t="shared" ref="IE13:IF28" si="70">HY13-IK13</f>
        <v>0</v>
      </c>
      <c r="IF13" s="762">
        <f t="shared" si="70"/>
        <v>0</v>
      </c>
      <c r="IG13" s="782">
        <f t="shared" ref="IG13:IG30" si="71">SUM(IH13:II13)</f>
        <v>0</v>
      </c>
      <c r="IH13" s="763">
        <f t="shared" ref="IH13:II28" si="72">IB13-IN13</f>
        <v>0</v>
      </c>
      <c r="II13" s="762">
        <f t="shared" si="72"/>
        <v>0</v>
      </c>
      <c r="IJ13" s="1233">
        <f t="shared" ref="IJ13:IJ30" si="73">SUM(IK13:IL13)</f>
        <v>0</v>
      </c>
      <c r="IK13" s="763">
        <f>[1]Субсидия_факт!FX10</f>
        <v>0</v>
      </c>
      <c r="IL13" s="762">
        <f>[1]Субсидия_факт!GB10</f>
        <v>0</v>
      </c>
      <c r="IM13" s="782">
        <f t="shared" ref="IM13:IM30" si="74">SUM(IN13:IO13)</f>
        <v>0</v>
      </c>
      <c r="IN13" s="763">
        <f>IB13</f>
        <v>0</v>
      </c>
      <c r="IO13" s="764">
        <f>IC13</f>
        <v>0</v>
      </c>
      <c r="IP13" s="964">
        <f t="shared" ref="IP13:IP30" si="75">SUM(IQ13:IR13)</f>
        <v>0</v>
      </c>
      <c r="IQ13" s="812">
        <f>[1]Субсидия_факт!ED10</f>
        <v>0</v>
      </c>
      <c r="IR13" s="813">
        <f>[1]Субсидия_факт!EF10</f>
        <v>0</v>
      </c>
      <c r="IS13" s="921">
        <f t="shared" ref="IS13:IS30" si="76">SUM(IT13:IU13)</f>
        <v>0</v>
      </c>
      <c r="IT13" s="812"/>
      <c r="IU13" s="813"/>
      <c r="IV13" s="1236">
        <f t="shared" ref="IV13:IV30" si="77">SUM(IW13:IX13)</f>
        <v>0</v>
      </c>
      <c r="IW13" s="763">
        <f>[1]Субсидия_факт!EH10</f>
        <v>0</v>
      </c>
      <c r="IX13" s="764">
        <f>[1]Субсидия_факт!EL10</f>
        <v>0</v>
      </c>
      <c r="IY13" s="1237">
        <f t="shared" ref="IY13:IY30" si="78">SUM(IZ13:JA13)</f>
        <v>0</v>
      </c>
      <c r="IZ13" s="763"/>
      <c r="JA13" s="762"/>
      <c r="JB13" s="1230">
        <f>IV13-JD13</f>
        <v>0</v>
      </c>
      <c r="JC13" s="1230">
        <f>IY13-JE13</f>
        <v>0</v>
      </c>
      <c r="JD13" s="1230">
        <f>IV13</f>
        <v>0</v>
      </c>
      <c r="JE13" s="781">
        <f>IY13</f>
        <v>0</v>
      </c>
      <c r="JF13" s="943">
        <f t="shared" ref="JF13:JF30" si="79">SUM(JG13:JH13)</f>
        <v>0</v>
      </c>
      <c r="JG13" s="812">
        <f>[1]Субсидия_факт!BX10</f>
        <v>0</v>
      </c>
      <c r="JH13" s="813">
        <f>[1]Субсидия_факт!BZ10</f>
        <v>0</v>
      </c>
      <c r="JI13" s="921">
        <f t="shared" ref="JI13:JI30" si="80">SUM(JJ13:JK13)</f>
        <v>0</v>
      </c>
      <c r="JJ13" s="812"/>
      <c r="JK13" s="813"/>
      <c r="JL13" s="964">
        <f t="shared" ref="JL13:JL30" si="81">SUM(JM13:JN13)</f>
        <v>0</v>
      </c>
      <c r="JM13" s="763">
        <f>[1]Субсидия_факт!ET10</f>
        <v>0</v>
      </c>
      <c r="JN13" s="764">
        <f>[1]Субсидия_факт!EV10</f>
        <v>0</v>
      </c>
      <c r="JO13" s="910">
        <f t="shared" ref="JO13:JO30" si="82">SUM(JP13:JQ13)</f>
        <v>0</v>
      </c>
      <c r="JP13" s="763"/>
      <c r="JQ13" s="764"/>
      <c r="JR13" s="910">
        <f t="shared" ref="JR13:JR30" si="83">SUM(JS13:JT13)</f>
        <v>0</v>
      </c>
      <c r="JS13" s="763">
        <f>[1]Субсидия_факт!EX10</f>
        <v>0</v>
      </c>
      <c r="JT13" s="762">
        <f>[1]Субсидия_факт!FD10</f>
        <v>0</v>
      </c>
      <c r="JU13" s="910">
        <f t="shared" ref="JU13:JU30" si="84">SUM(JV13:JW13)</f>
        <v>0</v>
      </c>
      <c r="JV13" s="763"/>
      <c r="JW13" s="764"/>
      <c r="JX13" s="910">
        <f t="shared" ref="JX13:JX30" si="85">SUM(JY13:JZ13)</f>
        <v>0</v>
      </c>
      <c r="JY13" s="763">
        <f>[1]Субсидия_факт!EZ10</f>
        <v>0</v>
      </c>
      <c r="JZ13" s="764">
        <f>[1]Субсидия_факт!FF10</f>
        <v>0</v>
      </c>
      <c r="KA13" s="910">
        <f t="shared" ref="KA13:KA30" si="86">SUM(KB13:KC13)</f>
        <v>0</v>
      </c>
      <c r="KB13" s="754"/>
      <c r="KC13" s="768"/>
      <c r="KD13" s="910">
        <f t="shared" ref="KD13:KD30" si="87">SUM(KE13:KF13)</f>
        <v>-160144.35999999999</v>
      </c>
      <c r="KE13" s="755">
        <f>'Проверочная  таблица'!JY13-'Проверочная  таблица'!KK13</f>
        <v>-41637.529999999984</v>
      </c>
      <c r="KF13" s="764">
        <f>'Проверочная  таблица'!JZ13-'Проверочная  таблица'!KL13</f>
        <v>-118506.83</v>
      </c>
      <c r="KG13" s="1225">
        <f t="shared" ref="KG13:KG30" si="88">SUM(KH13:KI13)</f>
        <v>0</v>
      </c>
      <c r="KH13" s="754">
        <f>'Проверочная  таблица'!KB13-'Проверочная  таблица'!KN13</f>
        <v>0</v>
      </c>
      <c r="KI13" s="771">
        <f>'Проверочная  таблица'!KC13-'Проверочная  таблица'!KO13</f>
        <v>0</v>
      </c>
      <c r="KJ13" s="910">
        <f t="shared" ref="KJ13:KJ30" si="89">SUM(KK13:KL13)</f>
        <v>160144.35999999999</v>
      </c>
      <c r="KK13" s="763">
        <f>[1]Субсидия_факт!FB10</f>
        <v>41637.529999999984</v>
      </c>
      <c r="KL13" s="762">
        <f>[1]Субсидия_факт!FH10</f>
        <v>118506.83</v>
      </c>
      <c r="KM13" s="782">
        <f t="shared" ref="KM13:KM26" si="90">SUM(KN13:KO13)</f>
        <v>0</v>
      </c>
      <c r="KN13" s="763"/>
      <c r="KO13" s="764"/>
      <c r="KP13" s="1217">
        <f>SUM(KQ13:KT13)</f>
        <v>1392759.65</v>
      </c>
      <c r="KQ13" s="754">
        <f>[1]Субсидия_факт!OD10</f>
        <v>539880</v>
      </c>
      <c r="KR13" s="764">
        <f>[1]Субсидия_факт!OJ10</f>
        <v>691479.65</v>
      </c>
      <c r="KS13" s="754">
        <f>[1]Субсидия_факт!OR10</f>
        <v>58676.6</v>
      </c>
      <c r="KT13" s="764">
        <f>[1]Субсидия_факт!OT10</f>
        <v>102723.4</v>
      </c>
      <c r="KU13" s="1217">
        <f t="shared" ref="KU13:KU30" si="91">SUM(KV13:KY13)</f>
        <v>0</v>
      </c>
      <c r="KV13" s="754"/>
      <c r="KW13" s="764"/>
      <c r="KX13" s="754"/>
      <c r="KY13" s="764"/>
      <c r="KZ13" s="1217">
        <f>SUM(LA13:LD13)</f>
        <v>112110</v>
      </c>
      <c r="LA13" s="789">
        <f>[1]Субсидия_факт!OF10</f>
        <v>112110</v>
      </c>
      <c r="LB13" s="767">
        <f>[1]Субсидия_факт!OL10</f>
        <v>0</v>
      </c>
      <c r="LC13" s="789"/>
      <c r="LD13" s="767"/>
      <c r="LE13" s="1217">
        <f t="shared" ref="LE13:LE30" si="92">SUM(LF13:LI13)</f>
        <v>0</v>
      </c>
      <c r="LF13" s="754"/>
      <c r="LG13" s="764"/>
      <c r="LH13" s="754"/>
      <c r="LI13" s="764"/>
      <c r="LJ13" s="1219">
        <f t="shared" ref="LJ13:LJ30" si="93">SUM(LK13:LL13)</f>
        <v>62820</v>
      </c>
      <c r="LK13" s="789">
        <f t="shared" ref="LK13:LL28" si="94">LA13-LQ13</f>
        <v>62820</v>
      </c>
      <c r="LL13" s="767">
        <f t="shared" si="94"/>
        <v>0</v>
      </c>
      <c r="LM13" s="1219">
        <f t="shared" ref="LM13:LM30" si="95">SUM(LN13:LO13)</f>
        <v>0</v>
      </c>
      <c r="LN13" s="789">
        <f t="shared" ref="LN13:LO28" si="96">LF13-LT13</f>
        <v>0</v>
      </c>
      <c r="LO13" s="767">
        <f t="shared" si="96"/>
        <v>0</v>
      </c>
      <c r="LP13" s="1219">
        <f t="shared" ref="LP13:LP30" si="97">SUM(LQ13:LR13)</f>
        <v>49290</v>
      </c>
      <c r="LQ13" s="763">
        <f>[1]Субсидия_факт!OH10</f>
        <v>49290</v>
      </c>
      <c r="LR13" s="762">
        <f>[1]Субсидия_факт!ON10</f>
        <v>0</v>
      </c>
      <c r="LS13" s="1219">
        <f t="shared" ref="LS13:LS30" si="98">SUM(LT13:LU13)</f>
        <v>0</v>
      </c>
      <c r="LT13" s="755"/>
      <c r="LU13" s="764"/>
      <c r="LV13" s="1232">
        <f>SUM(LW13:LY13)</f>
        <v>7973513.5099999998</v>
      </c>
      <c r="LW13" s="769">
        <f>[1]Субсидия_факт!DP10</f>
        <v>0</v>
      </c>
      <c r="LX13" s="754">
        <f>[1]Субсидия_факт!CB10</f>
        <v>2073113.5099999998</v>
      </c>
      <c r="LY13" s="764">
        <f>[1]Субсидия_факт!CH10</f>
        <v>5900400</v>
      </c>
      <c r="LZ13" s="957">
        <f t="shared" ref="LZ13:LZ30" si="99">SUM(MA13:MC13)</f>
        <v>0</v>
      </c>
      <c r="MA13" s="769"/>
      <c r="MB13" s="754"/>
      <c r="MC13" s="764"/>
      <c r="MD13" s="1232">
        <f>SUM(ME13:MG13)</f>
        <v>0</v>
      </c>
      <c r="ME13" s="769">
        <f>[1]Субсидия_факт!DR10</f>
        <v>0</v>
      </c>
      <c r="MF13" s="754">
        <f>[1]Субсидия_факт!CD10</f>
        <v>0</v>
      </c>
      <c r="MG13" s="764">
        <f>[1]Субсидия_факт!CJ10</f>
        <v>0</v>
      </c>
      <c r="MH13" s="957">
        <f t="shared" ref="MH13:MH30" si="100">SUM(MI13:MK13)</f>
        <v>0</v>
      </c>
      <c r="MI13" s="769"/>
      <c r="MJ13" s="754"/>
      <c r="MK13" s="762"/>
      <c r="ML13" s="782">
        <f t="shared" ref="ML13:ML30" si="101">SUM(MM13:MO13)</f>
        <v>0</v>
      </c>
      <c r="MM13" s="763">
        <f>'Проверочная  таблица'!ME13-MU13</f>
        <v>0</v>
      </c>
      <c r="MN13" s="763">
        <f>'Проверочная  таблица'!MF13-MV13</f>
        <v>0</v>
      </c>
      <c r="MO13" s="764">
        <f>'Проверочная  таблица'!MG13-MW13</f>
        <v>0</v>
      </c>
      <c r="MP13" s="782">
        <f t="shared" ref="MP13:MP30" si="102">SUM(MQ13:MS13)</f>
        <v>0</v>
      </c>
      <c r="MQ13" s="763">
        <f>'Проверочная  таблица'!MI13-MY13</f>
        <v>0</v>
      </c>
      <c r="MR13" s="763">
        <f>'Проверочная  таблица'!MJ13-MZ13</f>
        <v>0</v>
      </c>
      <c r="MS13" s="764">
        <f>'Проверочная  таблица'!MK13-NA13</f>
        <v>0</v>
      </c>
      <c r="MT13" s="783">
        <f t="shared" ref="MT13:MT30" si="103">SUM(MU13:MW13)</f>
        <v>0</v>
      </c>
      <c r="MU13" s="754">
        <f>[1]Субсидия_факт!DT10</f>
        <v>0</v>
      </c>
      <c r="MV13" s="754">
        <f>[1]Субсидия_факт!CF10</f>
        <v>0</v>
      </c>
      <c r="MW13" s="764">
        <f>[1]Субсидия_факт!CL10</f>
        <v>0</v>
      </c>
      <c r="MX13" s="783">
        <f t="shared" ref="MX13:MX30" si="104">SUM(MY13:NA13)</f>
        <v>0</v>
      </c>
      <c r="MY13" s="754"/>
      <c r="MZ13" s="754"/>
      <c r="NA13" s="764"/>
      <c r="NB13" s="1224">
        <f>SUM(NC13:NI13)</f>
        <v>160144.35999999999</v>
      </c>
      <c r="NC13" s="754">
        <f>[1]Субсидия_факт!CN10</f>
        <v>0</v>
      </c>
      <c r="ND13" s="762">
        <f>[1]Субсидия_факт!CP10</f>
        <v>0</v>
      </c>
      <c r="NE13" s="763">
        <f>[1]Субсидия_факт!CR10</f>
        <v>0</v>
      </c>
      <c r="NF13" s="764">
        <f>[1]Субсидия_факт!CT10</f>
        <v>0</v>
      </c>
      <c r="NG13" s="755">
        <f>[1]Субсидия_факт!DV10</f>
        <v>0</v>
      </c>
      <c r="NH13" s="763">
        <f>[1]Субсидия_факт!FJ10</f>
        <v>41637.529999999984</v>
      </c>
      <c r="NI13" s="762">
        <f>[1]Субсидия_факт!FP10</f>
        <v>118506.83</v>
      </c>
      <c r="NJ13" s="910">
        <f t="shared" ref="NJ13:NJ30" si="105">SUM(NK13:NQ13)</f>
        <v>0</v>
      </c>
      <c r="NK13" s="754"/>
      <c r="NL13" s="764"/>
      <c r="NM13" s="754"/>
      <c r="NN13" s="768"/>
      <c r="NO13" s="754"/>
      <c r="NP13" s="754"/>
      <c r="NQ13" s="764">
        <v>0</v>
      </c>
      <c r="NR13" s="910">
        <f>SUM(NS13:NT13)</f>
        <v>0</v>
      </c>
      <c r="NS13" s="763">
        <f>[1]Субсидия_факт!FL10</f>
        <v>0</v>
      </c>
      <c r="NT13" s="762">
        <f>[1]Субсидия_факт!FR10</f>
        <v>0</v>
      </c>
      <c r="NU13" s="910">
        <f t="shared" ref="NU13:NU30" si="106">SUM(NV13:NW13)</f>
        <v>0</v>
      </c>
      <c r="NV13" s="755"/>
      <c r="NW13" s="764"/>
      <c r="NX13" s="782">
        <f t="shared" ref="NX13:NX30" si="107">SUM(NY13:NZ13)</f>
        <v>0</v>
      </c>
      <c r="NY13" s="763">
        <f>'Проверочная  таблица'!NS13-OE13</f>
        <v>0</v>
      </c>
      <c r="NZ13" s="764">
        <f>'Проверочная  таблица'!NT13-OF13</f>
        <v>0</v>
      </c>
      <c r="OA13" s="782">
        <f t="shared" ref="OA13:OA30" si="108">SUM(OB13:OC13)</f>
        <v>0</v>
      </c>
      <c r="OB13" s="754">
        <f>'Проверочная  таблица'!NV13-OH13</f>
        <v>0</v>
      </c>
      <c r="OC13" s="771">
        <f>'Проверочная  таблица'!NW13-OI13</f>
        <v>0</v>
      </c>
      <c r="OD13" s="781">
        <f>SUM(OE13:OF13)</f>
        <v>0</v>
      </c>
      <c r="OE13" s="763">
        <f>[1]Субсидия_факт!FN10</f>
        <v>0</v>
      </c>
      <c r="OF13" s="762">
        <f>[1]Субсидия_факт!FT10</f>
        <v>0</v>
      </c>
      <c r="OG13" s="782">
        <f t="shared" ref="OG13:OG26" si="109">SUM(OH13:OI13)</f>
        <v>0</v>
      </c>
      <c r="OH13" s="754"/>
      <c r="OI13" s="764"/>
      <c r="OJ13" s="919">
        <f>SUM(OK13:OM13)</f>
        <v>0</v>
      </c>
      <c r="OK13" s="763">
        <f>[1]Субсидия_факт!AR10</f>
        <v>0</v>
      </c>
      <c r="OL13" s="762">
        <f>[1]Субсидия_факт!AT10</f>
        <v>0</v>
      </c>
      <c r="OM13" s="763">
        <f>[1]Субсидия_факт!AV10</f>
        <v>0</v>
      </c>
      <c r="ON13" s="957">
        <f t="shared" ref="ON13:ON30" si="110">SUM(OO13:OQ13)</f>
        <v>0</v>
      </c>
      <c r="OO13" s="770"/>
      <c r="OP13" s="767"/>
      <c r="OQ13" s="770"/>
      <c r="OR13" s="1238">
        <f t="shared" ref="OR13:OR30" si="111">SUM(OS13:OU13)</f>
        <v>5000000</v>
      </c>
      <c r="OS13" s="763">
        <f>[1]Субсидия_факт!GD10</f>
        <v>0</v>
      </c>
      <c r="OT13" s="762">
        <f>[1]Субсидия_факт!GJ10</f>
        <v>0</v>
      </c>
      <c r="OU13" s="770">
        <f>[1]Субсидия_факт!GP10</f>
        <v>5000000</v>
      </c>
      <c r="OV13" s="1238">
        <f t="shared" ref="OV13:OV30" si="112">SUM(OW13:OY13)</f>
        <v>0</v>
      </c>
      <c r="OW13" s="755"/>
      <c r="OX13" s="764"/>
      <c r="OY13" s="754"/>
      <c r="OZ13" s="1217">
        <f>SUM(PA13:PC13)</f>
        <v>0</v>
      </c>
      <c r="PA13" s="763">
        <f>[1]Субсидия_факт!GF10</f>
        <v>0</v>
      </c>
      <c r="PB13" s="762">
        <f>[1]Субсидия_факт!GL10</f>
        <v>0</v>
      </c>
      <c r="PC13" s="754">
        <f>[1]Субсидия_факт!GR10</f>
        <v>0</v>
      </c>
      <c r="PD13" s="1217">
        <f t="shared" ref="PD13:PD30" si="113">SUM(PE13:PG13)</f>
        <v>0</v>
      </c>
      <c r="PE13" s="754"/>
      <c r="PF13" s="771"/>
      <c r="PG13" s="754"/>
      <c r="PH13" s="1219">
        <f t="shared" ref="PH13:PH30" si="114">SUM(PI13:PK13)</f>
        <v>-5000000</v>
      </c>
      <c r="PI13" s="789">
        <f>'Проверочная  таблица'!PA13-PQ13</f>
        <v>-5000000</v>
      </c>
      <c r="PJ13" s="767">
        <f>'Проверочная  таблица'!PB13-PR13</f>
        <v>0</v>
      </c>
      <c r="PK13" s="770">
        <f>'Проверочная  таблица'!PC13-PS13</f>
        <v>0</v>
      </c>
      <c r="PL13" s="1219">
        <f>SUM(PM13:PO13)</f>
        <v>0</v>
      </c>
      <c r="PM13" s="755">
        <f>'Проверочная  таблица'!PE13-PU13</f>
        <v>0</v>
      </c>
      <c r="PN13" s="764">
        <f>'Проверочная  таблица'!PF13-PV13</f>
        <v>0</v>
      </c>
      <c r="PO13" s="754">
        <f>'Проверочная  таблица'!PG13-PW13</f>
        <v>0</v>
      </c>
      <c r="PP13" s="1219">
        <f t="shared" ref="PP13:PP30" si="115">SUM(PQ13:PS13)</f>
        <v>5000000</v>
      </c>
      <c r="PQ13" s="763">
        <f>[1]Субсидия_факт!GH10</f>
        <v>5000000</v>
      </c>
      <c r="PR13" s="762">
        <f>[1]Субсидия_факт!GN10</f>
        <v>0</v>
      </c>
      <c r="PS13" s="763">
        <f>[1]Субсидия_факт!GT10</f>
        <v>0</v>
      </c>
      <c r="PT13" s="1219">
        <f t="shared" ref="PT13:PT30" si="116">SUM(PU13:PW13)</f>
        <v>0</v>
      </c>
      <c r="PU13" s="755">
        <f>PE13</f>
        <v>0</v>
      </c>
      <c r="PV13" s="764">
        <f>PF13</f>
        <v>0</v>
      </c>
      <c r="PW13" s="763"/>
      <c r="PX13" s="910">
        <f>SUM(PY13:QB13)</f>
        <v>0</v>
      </c>
      <c r="PY13" s="763">
        <f>[1]Субсидия_факт!JB10</f>
        <v>0</v>
      </c>
      <c r="PZ13" s="764">
        <f>[1]Субсидия_факт!JH10</f>
        <v>0</v>
      </c>
      <c r="QA13" s="763"/>
      <c r="QB13" s="764"/>
      <c r="QC13" s="910">
        <f>SUM(QD13:QG13)</f>
        <v>0</v>
      </c>
      <c r="QD13" s="754"/>
      <c r="QE13" s="768"/>
      <c r="QF13" s="754"/>
      <c r="QG13" s="768"/>
      <c r="QH13" s="910">
        <f t="shared" ref="QH13:QH30" si="117">SUM(QI13:QJ13)</f>
        <v>0</v>
      </c>
      <c r="QI13" s="763">
        <f>[1]Субсидия_факт!JD10</f>
        <v>0</v>
      </c>
      <c r="QJ13" s="764">
        <f>[1]Субсидия_факт!JJ10</f>
        <v>0</v>
      </c>
      <c r="QK13" s="1224">
        <f t="shared" ref="QK13:QK30" si="118">SUM(QL13:QM13)</f>
        <v>0</v>
      </c>
      <c r="QL13" s="754"/>
      <c r="QM13" s="768"/>
      <c r="QN13" s="923">
        <f>SUM(QO13:QP13)</f>
        <v>0</v>
      </c>
      <c r="QO13" s="754">
        <f t="shared" ref="QO13:QP28" si="119">QI13-QU13</f>
        <v>0</v>
      </c>
      <c r="QP13" s="764">
        <f t="shared" si="119"/>
        <v>0</v>
      </c>
      <c r="QQ13" s="1233">
        <f t="shared" ref="QQ13:QQ30" si="120">SUM(QR13:QS13)</f>
        <v>0</v>
      </c>
      <c r="QR13" s="763">
        <f t="shared" ref="QR13:QS28" si="121">QL13-QX13</f>
        <v>0</v>
      </c>
      <c r="QS13" s="764">
        <f t="shared" si="121"/>
        <v>0</v>
      </c>
      <c r="QT13" s="1233">
        <f t="shared" ref="QT13:QT30" si="122">SUM(QU13:QV13)</f>
        <v>0</v>
      </c>
      <c r="QU13" s="763">
        <f>[1]Субсидия_факт!JF10</f>
        <v>0</v>
      </c>
      <c r="QV13" s="764">
        <f>[1]Субсидия_факт!JL10</f>
        <v>0</v>
      </c>
      <c r="QW13" s="923">
        <f>SUM(QX13:QY13)</f>
        <v>0</v>
      </c>
      <c r="QX13" s="770"/>
      <c r="QY13" s="794"/>
      <c r="QZ13" s="846">
        <f t="shared" ref="QZ13:QZ30" si="123">SUM(RA13:RB13)</f>
        <v>0</v>
      </c>
      <c r="RA13" s="763">
        <f>[1]Субсидия_факт!CV10</f>
        <v>0</v>
      </c>
      <c r="RB13" s="764">
        <f>[1]Субсидия_факт!CX10</f>
        <v>0</v>
      </c>
      <c r="RC13" s="910">
        <f t="shared" ref="RC13:RC30" si="124">SUM(RD13:RE13)</f>
        <v>0</v>
      </c>
      <c r="RD13" s="763"/>
      <c r="RE13" s="764"/>
      <c r="RF13" s="920">
        <f t="shared" ref="RF13:RF30" si="125">SUM(RG13:RH13)</f>
        <v>0</v>
      </c>
      <c r="RG13" s="763">
        <f>[1]Субсидия_факт!CZ10</f>
        <v>0</v>
      </c>
      <c r="RH13" s="764">
        <f>[1]Субсидия_факт!DF10</f>
        <v>0</v>
      </c>
      <c r="RI13" s="910">
        <f t="shared" ref="RI13:RI30" si="126">SUM(RJ13:RK13)</f>
        <v>0</v>
      </c>
      <c r="RJ13" s="763"/>
      <c r="RK13" s="764"/>
      <c r="RL13" s="801">
        <f t="shared" ref="RL13:RL30" si="127">SUM(RM13:RN13)</f>
        <v>0</v>
      </c>
      <c r="RM13" s="763">
        <f>[1]Субсидия_факт!DB10</f>
        <v>0</v>
      </c>
      <c r="RN13" s="764">
        <f>[1]Субсидия_факт!DH10</f>
        <v>0</v>
      </c>
      <c r="RO13" s="910">
        <f t="shared" ref="RO13:RO30" si="128">SUM(RP13:RQ13)</f>
        <v>0</v>
      </c>
      <c r="RP13" s="763"/>
      <c r="RQ13" s="764"/>
      <c r="RR13" s="1233">
        <f t="shared" ref="RR13:RR30" si="129">SUM(RS13:RT13)</f>
        <v>0</v>
      </c>
      <c r="RS13" s="763">
        <f t="shared" ref="RS13:RT28" si="130">RM13-RY13</f>
        <v>0</v>
      </c>
      <c r="RT13" s="764">
        <f t="shared" si="130"/>
        <v>0</v>
      </c>
      <c r="RU13" s="782">
        <f t="shared" ref="RU13:RU30" si="131">SUM(RV13:RW13)</f>
        <v>0</v>
      </c>
      <c r="RV13" s="763">
        <f t="shared" ref="RV13:RW28" si="132">RP13-SB13</f>
        <v>0</v>
      </c>
      <c r="RW13" s="764">
        <f t="shared" si="132"/>
        <v>0</v>
      </c>
      <c r="RX13" s="801">
        <f t="shared" ref="RX13:RX30" si="133">SUM(RY13:RZ13)</f>
        <v>0</v>
      </c>
      <c r="RY13" s="763">
        <f>[1]Субсидия_факт!DD10</f>
        <v>0</v>
      </c>
      <c r="RZ13" s="764">
        <f>[1]Субсидия_факт!DJ10</f>
        <v>0</v>
      </c>
      <c r="SA13" s="782">
        <f t="shared" ref="SA13:SA30" si="134">SUM(SB13:SC13)</f>
        <v>0</v>
      </c>
      <c r="SB13" s="763"/>
      <c r="SC13" s="764"/>
      <c r="SD13" s="920">
        <f t="shared" ref="SD13:SD30" si="135">SUM(SE13:SF13)</f>
        <v>0</v>
      </c>
      <c r="SE13" s="763">
        <f>[1]Субсидия_факт!DL10</f>
        <v>0</v>
      </c>
      <c r="SF13" s="764">
        <f>[1]Субсидия_факт!DN10</f>
        <v>0</v>
      </c>
      <c r="SG13" s="1224">
        <f t="shared" ref="SG13:SG30" si="136">SUM(SH13:SI13)</f>
        <v>0</v>
      </c>
      <c r="SH13" s="755"/>
      <c r="SI13" s="762"/>
      <c r="SJ13" s="1232">
        <f>SUM(SK13:SM13)</f>
        <v>0</v>
      </c>
      <c r="SK13" s="763">
        <f>[1]Субсидия_факт!BJ10</f>
        <v>0</v>
      </c>
      <c r="SL13" s="766">
        <f>[1]Субсидия_факт!BF10</f>
        <v>0</v>
      </c>
      <c r="SM13" s="762">
        <f>[1]Субсидия_факт!BH10</f>
        <v>0</v>
      </c>
      <c r="SN13" s="910">
        <f t="shared" ref="SN13:SN30" si="137">SUM(SO13:SQ13)</f>
        <v>0</v>
      </c>
      <c r="SO13" s="769"/>
      <c r="SP13" s="755"/>
      <c r="SQ13" s="762"/>
      <c r="SR13" s="846">
        <f t="shared" ref="SR13:SR30" si="138">SUM(SS13:ST13)</f>
        <v>0</v>
      </c>
      <c r="SS13" s="763">
        <f>[1]Субсидия_факт!AD10</f>
        <v>0</v>
      </c>
      <c r="ST13" s="764">
        <f>[1]Субсидия_факт!AF10</f>
        <v>0</v>
      </c>
      <c r="SU13" s="910">
        <f t="shared" ref="SU13:SU30" si="139">SUM(SV13:SW13)</f>
        <v>0</v>
      </c>
      <c r="SV13" s="755"/>
      <c r="SW13" s="762"/>
      <c r="SX13" s="779">
        <f>SUM(SY13:TD13)</f>
        <v>7145912.4400000004</v>
      </c>
      <c r="SY13" s="763">
        <f>[1]Субсидия_факт!ID10</f>
        <v>357295.62000000011</v>
      </c>
      <c r="SZ13" s="764">
        <f>[1]Субсидия_факт!IJ10</f>
        <v>6788616.8200000003</v>
      </c>
      <c r="TA13" s="755">
        <f>[1]Субсидия_факт!IP10</f>
        <v>0</v>
      </c>
      <c r="TB13" s="764">
        <f>[1]Субсидия_факт!IV10</f>
        <v>0</v>
      </c>
      <c r="TC13" s="1098">
        <f>[1]Субсидия_факт!JZ10</f>
        <v>0</v>
      </c>
      <c r="TD13" s="762">
        <f>[1]Субсидия_факт!KF10</f>
        <v>0</v>
      </c>
      <c r="TE13" s="910">
        <f t="shared" ref="TE13:TE30" si="140">SUM(TF13:TK13)</f>
        <v>0</v>
      </c>
      <c r="TF13" s="1161"/>
      <c r="TG13" s="768"/>
      <c r="TH13" s="1161"/>
      <c r="TI13" s="768"/>
      <c r="TJ13" s="1098"/>
      <c r="TK13" s="762"/>
      <c r="TL13" s="846">
        <f t="shared" ref="TL13:TL30" si="141">SUM(TM13:TR13)</f>
        <v>0</v>
      </c>
      <c r="TM13" s="763">
        <f>[1]Субсидия_факт!IF10</f>
        <v>0</v>
      </c>
      <c r="TN13" s="764">
        <f>[1]Субсидия_факт!IL10</f>
        <v>0</v>
      </c>
      <c r="TO13" s="755">
        <f>[1]Субсидия_факт!IR10</f>
        <v>0</v>
      </c>
      <c r="TP13" s="764">
        <f>[1]Субсидия_факт!IX10</f>
        <v>0</v>
      </c>
      <c r="TQ13" s="755">
        <f>[1]Субсидия_факт!KB10</f>
        <v>0</v>
      </c>
      <c r="TR13" s="764">
        <f>[1]Субсидия_факт!KH10</f>
        <v>0</v>
      </c>
      <c r="TS13" s="910">
        <f t="shared" ref="TS13:TS30" si="142">SUM(TT13:TY13)</f>
        <v>0</v>
      </c>
      <c r="TT13" s="754"/>
      <c r="TU13" s="768"/>
      <c r="TV13" s="1098"/>
      <c r="TW13" s="768"/>
      <c r="TX13" s="754"/>
      <c r="TY13" s="768"/>
      <c r="TZ13" s="923">
        <f t="shared" ref="TZ13:TZ30" si="143">SUM(UA13:UF13)</f>
        <v>0</v>
      </c>
      <c r="UA13" s="763">
        <f t="shared" ref="UA13:UF28" si="144">TM13-UO13</f>
        <v>0</v>
      </c>
      <c r="UB13" s="764">
        <f t="shared" si="144"/>
        <v>0</v>
      </c>
      <c r="UC13" s="763">
        <f t="shared" si="144"/>
        <v>0</v>
      </c>
      <c r="UD13" s="764">
        <f t="shared" si="144"/>
        <v>0</v>
      </c>
      <c r="UE13" s="755">
        <f t="shared" si="144"/>
        <v>0</v>
      </c>
      <c r="UF13" s="764">
        <f t="shared" si="144"/>
        <v>0</v>
      </c>
      <c r="UG13" s="782">
        <f t="shared" ref="UG13:UG30" si="145">SUM(UH13:UM13)</f>
        <v>0</v>
      </c>
      <c r="UH13" s="763">
        <f t="shared" ref="UH13:UM28" si="146">TT13-UV13</f>
        <v>0</v>
      </c>
      <c r="UI13" s="764">
        <f t="shared" si="146"/>
        <v>0</v>
      </c>
      <c r="UJ13" s="763">
        <f t="shared" si="146"/>
        <v>0</v>
      </c>
      <c r="UK13" s="764">
        <f t="shared" si="146"/>
        <v>0</v>
      </c>
      <c r="UL13" s="755">
        <f t="shared" si="146"/>
        <v>0</v>
      </c>
      <c r="UM13" s="764">
        <f t="shared" si="146"/>
        <v>0</v>
      </c>
      <c r="UN13" s="936">
        <f t="shared" ref="UN13:UN30" si="147">SUM(UO13:UT13)</f>
        <v>0</v>
      </c>
      <c r="UO13" s="763">
        <f>[1]Субсидия_факт!IH10</f>
        <v>0</v>
      </c>
      <c r="UP13" s="764">
        <f>[1]Субсидия_факт!IN10</f>
        <v>0</v>
      </c>
      <c r="UQ13" s="755">
        <f>[1]Субсидия_факт!IT10</f>
        <v>0</v>
      </c>
      <c r="UR13" s="764">
        <f>[1]Субсидия_факт!IZ10</f>
        <v>0</v>
      </c>
      <c r="US13" s="755">
        <f>[1]Субсидия_факт!KD10</f>
        <v>0</v>
      </c>
      <c r="UT13" s="764">
        <f>[1]Субсидия_факт!KJ10</f>
        <v>0</v>
      </c>
      <c r="UU13" s="782">
        <f t="shared" ref="UU13:UU30" si="148">SUM(UV13:VA13)</f>
        <v>0</v>
      </c>
      <c r="UV13" s="1098"/>
      <c r="UW13" s="768"/>
      <c r="UX13" s="1098"/>
      <c r="UY13" s="768"/>
      <c r="UZ13" s="1098"/>
      <c r="VA13" s="768"/>
      <c r="VB13" s="910">
        <f>'Прочая  субсидия_МР  и  ГО'!B8</f>
        <v>47735323.509999998</v>
      </c>
      <c r="VC13" s="910">
        <f>'Прочая  субсидия_МР  и  ГО'!C8</f>
        <v>13701716.34</v>
      </c>
      <c r="VD13" s="919">
        <f>'Прочая  субсидия_БП'!B8</f>
        <v>547309.22</v>
      </c>
      <c r="VE13" s="920">
        <f>'Прочая  субсидия_БП'!C8</f>
        <v>0</v>
      </c>
      <c r="VF13" s="1239">
        <f>'Прочая  субсидия_БП'!D8</f>
        <v>501346.43</v>
      </c>
      <c r="VG13" s="1240">
        <f>'Прочая  субсидия_БП'!E8</f>
        <v>0</v>
      </c>
      <c r="VH13" s="1241">
        <f>'Прочая  субсидия_БП'!F8</f>
        <v>45962.79</v>
      </c>
      <c r="VI13" s="1239">
        <f>'Прочая  субсидия_БП'!G8</f>
        <v>0</v>
      </c>
      <c r="VJ13" s="779">
        <f t="shared" ref="VJ13:VJ30" si="149">SUM(VK13:VL13)</f>
        <v>189713666.41999996</v>
      </c>
      <c r="VK13" s="761">
        <f>'Проверочная  таблица'!WM13+'Проверочная  таблица'!VP13+'Проверочная  таблица'!VR13+WG13</f>
        <v>183355935.00999996</v>
      </c>
      <c r="VL13" s="1095">
        <f>'Проверочная  таблица'!WN13+'Проверочная  таблица'!VV13+'Проверочная  таблица'!WB13+'Проверочная  таблица'!VX13+'Проверочная  таблица'!VZ13+WD13+WH13+VT13</f>
        <v>6357731.4100000001</v>
      </c>
      <c r="VM13" s="1232">
        <f t="shared" ref="VM13:VM30" si="150">SUM(VN13:VO13)</f>
        <v>103142541.28999999</v>
      </c>
      <c r="VN13" s="761">
        <f>'Проверочная  таблица'!WP13+'Проверочная  таблица'!VQ13+'Проверочная  таблица'!VS13+WJ13</f>
        <v>100572236.48999999</v>
      </c>
      <c r="VO13" s="1095">
        <f>'Проверочная  таблица'!WQ13+'Проверочная  таблица'!VW13+'Проверочная  таблица'!WC13+'Проверочная  таблица'!VY13+'Проверочная  таблица'!WA13+WE13+WK13+VU13</f>
        <v>2570304.7999999998</v>
      </c>
      <c r="VP13" s="1228">
        <f>'Субвенция  на  полномочия'!B8</f>
        <v>172529055.76999995</v>
      </c>
      <c r="VQ13" s="1216">
        <f>'Субвенция  на  полномочия'!C8</f>
        <v>96897506</v>
      </c>
      <c r="VR13" s="756">
        <f>[1]Субвенция_факт!M9*1000</f>
        <v>8175520</v>
      </c>
      <c r="VS13" s="772">
        <v>2432000</v>
      </c>
      <c r="VT13" s="756">
        <f>[1]Субвенция_факт!AE9*1000</f>
        <v>2362800</v>
      </c>
      <c r="VU13" s="772">
        <f>ВУС!E6</f>
        <v>287629.21000000002</v>
      </c>
      <c r="VV13" s="756">
        <f>[1]Субвенция_факт!AF9*1000</f>
        <v>0</v>
      </c>
      <c r="VW13" s="772"/>
      <c r="VX13" s="1242">
        <f>[1]Субвенция_факт!AG9*1000</f>
        <v>0</v>
      </c>
      <c r="VY13" s="773"/>
      <c r="VZ13" s="759">
        <f>[1]Субвенция_факт!E9*1000</f>
        <v>0</v>
      </c>
      <c r="WA13" s="773"/>
      <c r="WB13" s="759">
        <f>[1]Субвенция_факт!F9*1000</f>
        <v>0</v>
      </c>
      <c r="WC13" s="773"/>
      <c r="WD13" s="757">
        <f>[1]Субвенция_факт!G9*1000</f>
        <v>0</v>
      </c>
      <c r="WE13" s="772"/>
      <c r="WF13" s="779">
        <f t="shared" ref="WF13:WF30" si="151">SUM(WG13:WH13)</f>
        <v>4249907.3099999996</v>
      </c>
      <c r="WG13" s="1231">
        <f>[1]Субвенция_факт!P9*1000</f>
        <v>1104975.8999999994</v>
      </c>
      <c r="WH13" s="1243">
        <f>[1]Субвенция_факт!Q9*1000</f>
        <v>3144931.41</v>
      </c>
      <c r="WI13" s="1232">
        <f t="shared" ref="WI13:WI30" si="152">SUM(WJ13:WK13)</f>
        <v>2275886.4900000002</v>
      </c>
      <c r="WJ13" s="761">
        <v>591730.49</v>
      </c>
      <c r="WK13" s="774">
        <v>1684156</v>
      </c>
      <c r="WL13" s="1232">
        <f t="shared" ref="WL13:WL30" si="153">SUM(WM13:WN13)</f>
        <v>2396383.34</v>
      </c>
      <c r="WM13" s="775">
        <f>[1]Субвенция_факт!X9*1000</f>
        <v>1546383.3399999999</v>
      </c>
      <c r="WN13" s="776">
        <f>[1]Субвенция_факт!W9*1000</f>
        <v>850000</v>
      </c>
      <c r="WO13" s="1232">
        <f t="shared" ref="WO13:WO30" si="154">SUM(WP13:WQ13)</f>
        <v>1249519.5899999999</v>
      </c>
      <c r="WP13" s="761">
        <v>651000</v>
      </c>
      <c r="WQ13" s="774">
        <v>598519.59</v>
      </c>
      <c r="WR13" s="1232">
        <f>WT13+WZ13+XF13+XL13+XP13+XX13+YT13</f>
        <v>49325031.859999999</v>
      </c>
      <c r="WS13" s="1232">
        <f>WW13+XC13+XI13+XN13+XR13+YI13+YZ13</f>
        <v>17780791.990000002</v>
      </c>
      <c r="WT13" s="1228">
        <f t="shared" ref="WT13:WT30" si="155">SUM(WU13:WV13)</f>
        <v>0</v>
      </c>
      <c r="WU13" s="775">
        <f>'[1]Иные межбюджетные трансферты'!AM10</f>
        <v>0</v>
      </c>
      <c r="WV13" s="776">
        <f>'[1]Иные межбюджетные трансферты'!AO10</f>
        <v>0</v>
      </c>
      <c r="WW13" s="1228">
        <f t="shared" ref="WW13:WW30" si="156">SUM(WX13:WY13)</f>
        <v>0</v>
      </c>
      <c r="WX13" s="775"/>
      <c r="WY13" s="776"/>
      <c r="WZ13" s="1232">
        <f t="shared" ref="WZ13:WZ30" si="157">SUM(XA13:XB13)</f>
        <v>1078476.56</v>
      </c>
      <c r="XA13" s="775">
        <f>'[1]Иные межбюджетные трансферты'!AI10</f>
        <v>53923.83</v>
      </c>
      <c r="XB13" s="776">
        <f>'[1]Иные межбюджетные трансферты'!AK10</f>
        <v>1024552.7300000001</v>
      </c>
      <c r="XC13" s="1232">
        <f t="shared" ref="XC13:XC30" si="158">SUM(XD13:XE13)</f>
        <v>717332.59</v>
      </c>
      <c r="XD13" s="775">
        <v>35866.639999999999</v>
      </c>
      <c r="XE13" s="776">
        <v>681465.95</v>
      </c>
      <c r="XF13" s="1232">
        <f t="shared" ref="XF13:XF30" si="159">SUM(XG13:XH13)</f>
        <v>8645767</v>
      </c>
      <c r="XG13" s="775">
        <f>'[1]Иные межбюджетные трансферты'!I10</f>
        <v>0</v>
      </c>
      <c r="XH13" s="776">
        <f>'[1]Иные межбюджетные трансферты'!K10</f>
        <v>8645767</v>
      </c>
      <c r="XI13" s="1232">
        <f t="shared" ref="XI13" si="160">SUM(XJ13:XK13)</f>
        <v>8645767</v>
      </c>
      <c r="XJ13" s="777"/>
      <c r="XK13" s="776">
        <v>8645767</v>
      </c>
      <c r="XL13" s="1232">
        <f t="shared" ref="XL13:XL30" si="161">SUM(XM13:XM13)</f>
        <v>0</v>
      </c>
      <c r="XM13" s="778"/>
      <c r="XN13" s="1232">
        <f t="shared" ref="XN13:XN30" si="162">SUM(XO13:XO13)</f>
        <v>0</v>
      </c>
      <c r="XO13" s="778"/>
      <c r="XP13" s="779">
        <f t="shared" ref="XP13:XP30" si="163">SUM(XQ13:XQ13)</f>
        <v>0</v>
      </c>
      <c r="XQ13" s="1231">
        <f>'[1]Иные межбюджетные трансферты'!M10</f>
        <v>0</v>
      </c>
      <c r="XR13" s="1232">
        <f t="shared" ref="XR13:XR30" si="164">SUM(XS13:XS13)</f>
        <v>0</v>
      </c>
      <c r="XS13" s="761"/>
      <c r="XT13" s="1229">
        <f t="shared" ref="XT13:XT30" si="165">XP13-XV13</f>
        <v>0</v>
      </c>
      <c r="XU13" s="781">
        <f t="shared" ref="XU13:XU30" si="166">XR13-XW13</f>
        <v>0</v>
      </c>
      <c r="XV13" s="1229">
        <f t="shared" ref="XV13:XV30" si="167">XP13</f>
        <v>0</v>
      </c>
      <c r="XW13" s="781">
        <f t="shared" ref="XW13:XW30" si="168">XR13</f>
        <v>0</v>
      </c>
      <c r="XX13" s="1232">
        <f>SUM(XY13:YH13)</f>
        <v>39600788.299999997</v>
      </c>
      <c r="XY13" s="1244">
        <f>'[1]Иные межбюджетные трансферты'!E10</f>
        <v>0</v>
      </c>
      <c r="XZ13" s="775">
        <f>'[1]Иные межбюджетные трансферты'!G10</f>
        <v>0</v>
      </c>
      <c r="YA13" s="777">
        <f>'[1]Иные межбюджетные трансферты'!Q10</f>
        <v>0</v>
      </c>
      <c r="YB13" s="1244">
        <f>'[1]Иные межбюджетные трансферты'!W10</f>
        <v>0</v>
      </c>
      <c r="YC13" s="751">
        <f>'[1]Иные межбюджетные трансферты'!Y10</f>
        <v>6136480</v>
      </c>
      <c r="YD13" s="1245">
        <f>'[1]Иные межбюджетные трансферты'!AE10</f>
        <v>28379802</v>
      </c>
      <c r="YE13" s="777">
        <f>'[1]Иные межбюджетные трансферты'!AQ10</f>
        <v>1230322.1100000001</v>
      </c>
      <c r="YF13" s="1231">
        <f>'[1]Иные межбюджетные трансферты'!AW10</f>
        <v>0</v>
      </c>
      <c r="YG13" s="777">
        <f>'[1]Иные межбюджетные трансферты'!AY10</f>
        <v>0</v>
      </c>
      <c r="YH13" s="1245">
        <f>'[1]Иные межбюджетные трансферты'!BA10</f>
        <v>3854184.19</v>
      </c>
      <c r="YI13" s="1232">
        <f>SUM(YJ13:YS13)</f>
        <v>8417692.4000000004</v>
      </c>
      <c r="YJ13" s="751"/>
      <c r="YK13" s="751"/>
      <c r="YL13" s="755"/>
      <c r="YM13" s="751"/>
      <c r="YN13" s="751">
        <f>YC13</f>
        <v>6136480</v>
      </c>
      <c r="YO13" s="751">
        <v>0</v>
      </c>
      <c r="YP13" s="751"/>
      <c r="YQ13" s="751"/>
      <c r="YR13" s="751"/>
      <c r="YS13" s="751">
        <v>2281212.4</v>
      </c>
      <c r="YT13" s="1232">
        <f t="shared" ref="YT13:YT30" si="169">SUM(YU13:YY13)</f>
        <v>0</v>
      </c>
      <c r="YU13" s="775">
        <f>'[1]Иные межбюджетные трансферты'!S10</f>
        <v>0</v>
      </c>
      <c r="YV13" s="777">
        <f>'[1]Иные межбюджетные трансферты'!AA10</f>
        <v>0</v>
      </c>
      <c r="YW13" s="1245">
        <f>'[1]Иные межбюджетные трансферты'!AG10</f>
        <v>0</v>
      </c>
      <c r="YX13" s="1244">
        <f>'[1]Иные межбюджетные трансферты'!AS10</f>
        <v>0</v>
      </c>
      <c r="YY13" s="751">
        <f>'[1]Иные межбюджетные трансферты'!BC10</f>
        <v>0</v>
      </c>
      <c r="YZ13" s="1232">
        <f t="shared" ref="YZ13:YZ30" si="170">SUM(ZA13:ZE13)</f>
        <v>0</v>
      </c>
      <c r="ZA13" s="1095"/>
      <c r="ZB13" s="769"/>
      <c r="ZC13" s="769"/>
      <c r="ZD13" s="751"/>
      <c r="ZE13" s="751"/>
      <c r="ZF13" s="781">
        <f t="shared" ref="ZF13:ZF30" si="171">SUM(ZG13:ZK13)</f>
        <v>0</v>
      </c>
      <c r="ZG13" s="1231">
        <f>'Проверочная  таблица'!YU13-ZS13</f>
        <v>0</v>
      </c>
      <c r="ZH13" s="1231">
        <f>'Проверочная  таблица'!YV13-ZT13</f>
        <v>0</v>
      </c>
      <c r="ZI13" s="1231">
        <f>'Проверочная  таблица'!YW13-ZU13</f>
        <v>0</v>
      </c>
      <c r="ZJ13" s="1231">
        <f>'Проверочная  таблица'!YX13-ZV13</f>
        <v>0</v>
      </c>
      <c r="ZK13" s="1231">
        <f>'Проверочная  таблица'!YY13-ZW13</f>
        <v>0</v>
      </c>
      <c r="ZL13" s="781">
        <f t="shared" ref="ZL13:ZL30" si="172">SUM(ZM13:ZQ13)</f>
        <v>0</v>
      </c>
      <c r="ZM13" s="1231">
        <f>'Проверочная  таблица'!ZA13-ZY13</f>
        <v>0</v>
      </c>
      <c r="ZN13" s="1231">
        <f>'Проверочная  таблица'!ZB13-ZZ13</f>
        <v>0</v>
      </c>
      <c r="ZO13" s="1231">
        <f>'Проверочная  таблица'!ZC13-AAA13</f>
        <v>0</v>
      </c>
      <c r="ZP13" s="1231">
        <f>'Проверочная  таблица'!ZD13-AAB13</f>
        <v>0</v>
      </c>
      <c r="ZQ13" s="1231">
        <f>'Проверочная  таблица'!ZE13-AAC13</f>
        <v>0</v>
      </c>
      <c r="ZR13" s="781">
        <f t="shared" ref="ZR13:ZR30" si="173">SUM(ZS13:ZW13)</f>
        <v>0</v>
      </c>
      <c r="ZS13" s="775">
        <f>'[1]Иные межбюджетные трансферты'!U10</f>
        <v>0</v>
      </c>
      <c r="ZT13" s="777">
        <f>'[1]Иные межбюджетные трансферты'!AC10</f>
        <v>0</v>
      </c>
      <c r="ZU13" s="1244"/>
      <c r="ZV13" s="775">
        <f>'[1]Иные межбюджетные трансферты'!AU10</f>
        <v>0</v>
      </c>
      <c r="ZW13" s="751"/>
      <c r="ZX13" s="781">
        <f t="shared" ref="ZX13:ZX30" si="174">SUM(ZY13:AAC13)</f>
        <v>0</v>
      </c>
      <c r="ZY13" s="769"/>
      <c r="ZZ13" s="769"/>
      <c r="AAA13" s="769"/>
      <c r="AAB13" s="751"/>
      <c r="AAC13" s="751"/>
      <c r="AAD13" s="957">
        <f>AAF13+'Проверочная  таблица'!AAN13+AAJ13+'Проверочная  таблица'!AAR13+AAL13+'Проверочная  таблица'!AAT13</f>
        <v>0</v>
      </c>
      <c r="AAE13" s="1232">
        <f>AAG13+'Проверочная  таблица'!AAO13+AAK13+'Проверочная  таблица'!AAS13+AAM13+'Проверочная  таблица'!AAU13</f>
        <v>0</v>
      </c>
      <c r="AAF13" s="779"/>
      <c r="AAG13" s="779"/>
      <c r="AAH13" s="779"/>
      <c r="AAI13" s="779"/>
      <c r="AAJ13" s="1230">
        <f t="shared" ref="AAJ13:AAK30" si="175">AAH13-AAL13</f>
        <v>0</v>
      </c>
      <c r="AAK13" s="781">
        <f t="shared" si="175"/>
        <v>0</v>
      </c>
      <c r="AAL13" s="780"/>
      <c r="AAM13" s="781"/>
      <c r="AAN13" s="779"/>
      <c r="AAO13" s="779"/>
      <c r="AAP13" s="779"/>
      <c r="AAQ13" s="779"/>
      <c r="AAR13" s="1230">
        <f t="shared" ref="AAR13:AAS30" si="176">AAP13-AAT13</f>
        <v>0</v>
      </c>
      <c r="AAS13" s="781">
        <f t="shared" si="176"/>
        <v>0</v>
      </c>
      <c r="AAT13" s="782"/>
      <c r="AAU13" s="783"/>
      <c r="AAV13" s="1246">
        <f>'Проверочная  таблица'!AAN13+'Проверочная  таблица'!AAP13</f>
        <v>0</v>
      </c>
      <c r="AAW13" s="1246">
        <f>'Проверочная  таблица'!AAO13+'Проверочная  таблица'!AAQ13</f>
        <v>0</v>
      </c>
    </row>
    <row r="14" spans="1:725" ht="24" customHeight="1" x14ac:dyDescent="0.25">
      <c r="A14" s="808" t="s">
        <v>1302</v>
      </c>
      <c r="B14" s="793">
        <f>D14+AN14+'Проверочная  таблица'!VJ14+'Проверочная  таблица'!WR14</f>
        <v>2223065258.9200001</v>
      </c>
      <c r="C14" s="767">
        <f>E14+'Проверочная  таблица'!VM14+AO14+'Проверочная  таблица'!WS14</f>
        <v>772221927.5200001</v>
      </c>
      <c r="D14" s="1234">
        <f t="shared" ref="D14:D16" si="177">F14+P14+N14+V14+AD14+H14</f>
        <v>277568949</v>
      </c>
      <c r="E14" s="801">
        <f t="shared" si="1"/>
        <v>105770000</v>
      </c>
      <c r="F14" s="1238">
        <f>'[1]Дотация  из  ОБ_факт'!M12</f>
        <v>245688949</v>
      </c>
      <c r="G14" s="1247">
        <v>98470000</v>
      </c>
      <c r="H14" s="1238">
        <f>'[1]Дотация  из  ОБ_факт'!G12</f>
        <v>0</v>
      </c>
      <c r="I14" s="1247"/>
      <c r="J14" s="1248">
        <f t="shared" ref="J14:K16" si="178">H14-L14</f>
        <v>0</v>
      </c>
      <c r="K14" s="1249">
        <f t="shared" si="178"/>
        <v>0</v>
      </c>
      <c r="L14" s="1248">
        <f>'[1]Дотация  из  ОБ_факт'!K12</f>
        <v>0</v>
      </c>
      <c r="M14" s="785"/>
      <c r="N14" s="1238">
        <f>'[1]Дотация  из  ОБ_факт'!Q12</f>
        <v>31580000</v>
      </c>
      <c r="O14" s="1247">
        <v>7000000</v>
      </c>
      <c r="P14" s="1238">
        <f>'[1]Дотация  из  ОБ_факт'!S12</f>
        <v>0</v>
      </c>
      <c r="Q14" s="1247"/>
      <c r="R14" s="1248">
        <f t="shared" ref="R14:S16" si="179">P14-T14</f>
        <v>0</v>
      </c>
      <c r="S14" s="1249">
        <f t="shared" si="179"/>
        <v>0</v>
      </c>
      <c r="T14" s="1248">
        <f>'[1]Дотация  из  ОБ_факт'!W12</f>
        <v>0</v>
      </c>
      <c r="U14" s="785"/>
      <c r="V14" s="790">
        <f>SUM(W14:Y14)</f>
        <v>300000</v>
      </c>
      <c r="W14" s="1250">
        <f>'[1]Дотация  из  ОБ_факт'!$AA$12</f>
        <v>300000</v>
      </c>
      <c r="X14" s="1251">
        <f>'[1]Дотация  из  ОБ_факт'!$AC$12</f>
        <v>0</v>
      </c>
      <c r="Y14" s="1251">
        <f>'[1]Дотация  из  ОБ_факт'!$AG$12</f>
        <v>0</v>
      </c>
      <c r="Z14" s="791">
        <f>SUM(AA14:AC14)</f>
        <v>300000</v>
      </c>
      <c r="AA14" s="751">
        <f t="shared" ref="AA14:AB30" si="180">W14</f>
        <v>300000</v>
      </c>
      <c r="AB14" s="751">
        <f t="shared" si="180"/>
        <v>0</v>
      </c>
      <c r="AC14" s="786"/>
      <c r="AD14" s="790">
        <f>SUM(AE14:AF14)</f>
        <v>0</v>
      </c>
      <c r="AE14" s="1250">
        <f>'[1]Дотация  из  ОБ_факт'!$Y$12</f>
        <v>0</v>
      </c>
      <c r="AF14" s="1251">
        <f>'[1]Дотация  из  ОБ_факт'!$AE$12</f>
        <v>0</v>
      </c>
      <c r="AG14" s="790">
        <f>SUM(AH14:AI14)</f>
        <v>0</v>
      </c>
      <c r="AH14" s="787"/>
      <c r="AI14" s="786"/>
      <c r="AJ14" s="1248">
        <f t="shared" si="8"/>
        <v>0</v>
      </c>
      <c r="AK14" s="1249">
        <f t="shared" ref="AK14:AK16" si="181">AG14-AM14</f>
        <v>0</v>
      </c>
      <c r="AL14" s="1248">
        <f>'[1]Дотация  из  ОБ_факт'!AE12</f>
        <v>0</v>
      </c>
      <c r="AM14" s="788"/>
      <c r="AN14" s="919">
        <f>'Проверочная  таблица'!VB14+'Проверочная  таблица'!VD14+BT14+BV14+CH14+CJ14+BH14+BL14+'Проверочная  таблица'!NB14+'Проверочная  таблица'!NR14+'Проверочная  таблица'!EB14+'Проверочная  таблица'!OJ14+DT14+'Проверочная  таблица'!JR14+'Проверочная  таблица'!JX14+'Проверочная  таблица'!OR14+'Проверочная  таблица'!OZ14+JL14+AP14+AV14+FB14+FH14+CV14+SX14+EH14+TL14+QH14+EN14+EV14+LV14+MD14+SR14+GV14+SD14+RF14+KP14+KZ14+RL14+SJ14+CP14+QZ14+HL14+GF14+HR14+HX14+FZ14+DJ14+PX14+CB14+IP14+JF14+HD14+GL14+IV14</f>
        <v>1343758728.6900001</v>
      </c>
      <c r="AO14" s="920">
        <f>'Проверочная  таблица'!VC14+'Проверочная  таблица'!VE14+BU14+BW14+CI14+CK14+BJ14+BN14+'Проверочная  таблица'!NJ14+'Проверочная  таблица'!NU14+'Проверочная  таблица'!EE14+'Проверочная  таблица'!ON14+DX14+'Проверочная  таблица'!JU14+'Проверочная  таблица'!KA14+'Проверочная  таблица'!OV14+'Проверочная  таблица'!PD14+JO14+AS14+AX14+FE14+FK14+DC14+TE14+EK14+TS14+QK14+ER14+EY14+LZ14+MH14+SU14+GZ14+SG14+RI14+KU14+LE14+RO14+SN14+CS14+RC14+HO14+GI14+HU14+IA14+GC14+DM14+QC14+CE14+IS14+JI14+HF14+GO14+IY14</f>
        <v>372166939.46000004</v>
      </c>
      <c r="AP14" s="957">
        <f>SUM(AQ14:AR14)</f>
        <v>51003088.5</v>
      </c>
      <c r="AQ14" s="789">
        <f>[1]Субсидия_факт!HV14</f>
        <v>51003088.5</v>
      </c>
      <c r="AR14" s="770">
        <f>[1]Субсидия_факт!MR14</f>
        <v>0</v>
      </c>
      <c r="AS14" s="957">
        <f>SUM(AT14:AU14)</f>
        <v>0</v>
      </c>
      <c r="AT14" s="770">
        <v>0</v>
      </c>
      <c r="AU14" s="789"/>
      <c r="AV14" s="910">
        <f>SUM(AW14:AW14)</f>
        <v>0</v>
      </c>
      <c r="AW14" s="770">
        <f>[1]Субсидия_факт!MV14</f>
        <v>0</v>
      </c>
      <c r="AX14" s="1224">
        <f>SUM(AY14:AY14)</f>
        <v>0</v>
      </c>
      <c r="AY14" s="770"/>
      <c r="AZ14" s="1225">
        <f>SUM(BA14:BA14)</f>
        <v>0</v>
      </c>
      <c r="BA14" s="770">
        <f>AW14-BE14</f>
        <v>0</v>
      </c>
      <c r="BB14" s="783">
        <f>SUM(BC14:BC14)</f>
        <v>0</v>
      </c>
      <c r="BC14" s="789">
        <f>AY14-BG14</f>
        <v>0</v>
      </c>
      <c r="BD14" s="782">
        <f>SUM(BE14:BE14)</f>
        <v>0</v>
      </c>
      <c r="BE14" s="770">
        <f>[1]Субсидия_факт!MX14</f>
        <v>0</v>
      </c>
      <c r="BF14" s="802">
        <f>SUM(BG14:BG14)</f>
        <v>0</v>
      </c>
      <c r="BG14" s="770"/>
      <c r="BH14" s="801">
        <f>SUM(BI14:BI14)</f>
        <v>0</v>
      </c>
      <c r="BI14" s="770">
        <f>[1]Субсидия_факт!KZ14</f>
        <v>0</v>
      </c>
      <c r="BJ14" s="957">
        <f>SUM(BK14:BK14)</f>
        <v>0</v>
      </c>
      <c r="BK14" s="770"/>
      <c r="BL14" s="801">
        <f>SUM(BM14:BM14)</f>
        <v>0</v>
      </c>
      <c r="BM14" s="770">
        <f>[1]Субсидия_факт!LB14</f>
        <v>0</v>
      </c>
      <c r="BN14" s="957">
        <f>SUM(BO14:BO14)</f>
        <v>0</v>
      </c>
      <c r="BO14" s="770"/>
      <c r="BP14" s="1235">
        <f>BL14-BR14</f>
        <v>0</v>
      </c>
      <c r="BQ14" s="783">
        <f>BN14-BS14</f>
        <v>0</v>
      </c>
      <c r="BR14" s="1252">
        <f>BL14</f>
        <v>0</v>
      </c>
      <c r="BS14" s="783">
        <f>BN14</f>
        <v>0</v>
      </c>
      <c r="BT14" s="801">
        <f>[1]Субсидия_факт!GV14</f>
        <v>0</v>
      </c>
      <c r="BU14" s="790"/>
      <c r="BV14" s="1253">
        <f>[1]Субсидия_факт!GX14</f>
        <v>0</v>
      </c>
      <c r="BW14" s="791"/>
      <c r="BX14" s="1252">
        <f t="shared" ref="BX14:BY16" si="182">BV14-BZ14</f>
        <v>0</v>
      </c>
      <c r="BY14" s="1235">
        <f t="shared" si="182"/>
        <v>0</v>
      </c>
      <c r="BZ14" s="783">
        <f>[1]Субсидия_факт!GZ14</f>
        <v>0</v>
      </c>
      <c r="CA14" s="785"/>
      <c r="CB14" s="801">
        <f>SUM(CC14:CD14)</f>
        <v>104308088.5</v>
      </c>
      <c r="CC14" s="766">
        <f>[1]Субсидия_факт!HL14</f>
        <v>51003088.5</v>
      </c>
      <c r="CD14" s="770">
        <f>[1]Субсидия_факт!HN14</f>
        <v>53305000</v>
      </c>
      <c r="CE14" s="957">
        <f>SUM(CF14:CG14)</f>
        <v>0</v>
      </c>
      <c r="CF14" s="770"/>
      <c r="CG14" s="770"/>
      <c r="CH14" s="957">
        <f>[1]Субсидия_факт!HB14</f>
        <v>0</v>
      </c>
      <c r="CI14" s="792"/>
      <c r="CJ14" s="957">
        <f>[1]Субсидия_факт!HD14</f>
        <v>0</v>
      </c>
      <c r="CK14" s="791"/>
      <c r="CL14" s="1226">
        <f t="shared" ref="CL14:CM16" si="183">CJ14-CN14</f>
        <v>0</v>
      </c>
      <c r="CM14" s="782">
        <f t="shared" si="183"/>
        <v>0</v>
      </c>
      <c r="CN14" s="1225">
        <f>[1]Субсидия_факт!HF14</f>
        <v>0</v>
      </c>
      <c r="CO14" s="753"/>
      <c r="CP14" s="801">
        <f>SUM(CQ14:CR14)</f>
        <v>33007941.620000001</v>
      </c>
      <c r="CQ14" s="766">
        <f>[1]Субсидия_факт!HP14</f>
        <v>0</v>
      </c>
      <c r="CR14" s="770">
        <f>[1]Субсидия_факт!HR14</f>
        <v>33007941.620000001</v>
      </c>
      <c r="CS14" s="957">
        <f>SUM(CT14:CU14)</f>
        <v>0</v>
      </c>
      <c r="CT14" s="770"/>
      <c r="CU14" s="770"/>
      <c r="CV14" s="910">
        <f>SUM(CW14:DB14)</f>
        <v>6726687.7300000004</v>
      </c>
      <c r="CW14" s="763">
        <f>[1]Субсидия_факт!LR14</f>
        <v>0</v>
      </c>
      <c r="CX14" s="762">
        <f>[1]Субсидия_факт!LT14</f>
        <v>0</v>
      </c>
      <c r="CY14" s="754">
        <f>[1]Субсидия_факт!LV14</f>
        <v>0</v>
      </c>
      <c r="CZ14" s="762">
        <f>[1]Субсидия_факт!MB14</f>
        <v>0</v>
      </c>
      <c r="DA14" s="754">
        <f>[1]Субсидия_факт!MH14</f>
        <v>6726687.7300000004</v>
      </c>
      <c r="DB14" s="762">
        <f>[1]Субсидия_факт!MJ14</f>
        <v>0</v>
      </c>
      <c r="DC14" s="910">
        <f>SUM(DD14:DI14)</f>
        <v>0</v>
      </c>
      <c r="DD14" s="755"/>
      <c r="DE14" s="762"/>
      <c r="DF14" s="754"/>
      <c r="DG14" s="762"/>
      <c r="DH14" s="754"/>
      <c r="DI14" s="762"/>
      <c r="DJ14" s="920">
        <f>SUM(DK14:DL14)</f>
        <v>0</v>
      </c>
      <c r="DK14" s="763">
        <f>[1]Субсидия_факт!LX14</f>
        <v>0</v>
      </c>
      <c r="DL14" s="762">
        <f>[1]Субсидия_факт!MD14</f>
        <v>0</v>
      </c>
      <c r="DM14" s="910">
        <f>SUM(DN14:DO14)</f>
        <v>0</v>
      </c>
      <c r="DN14" s="763"/>
      <c r="DO14" s="764"/>
      <c r="DP14" s="1226">
        <f>DJ14-DR14</f>
        <v>0</v>
      </c>
      <c r="DQ14" s="782">
        <f>DM14-DS14</f>
        <v>0</v>
      </c>
      <c r="DR14" s="1225">
        <f>DJ14</f>
        <v>0</v>
      </c>
      <c r="DS14" s="753">
        <f>DM14</f>
        <v>0</v>
      </c>
      <c r="DT14" s="957">
        <f>SUM(DU14:DW14)</f>
        <v>0</v>
      </c>
      <c r="DU14" s="789">
        <f>[1]Субсидия_факт!R14</f>
        <v>0</v>
      </c>
      <c r="DV14" s="766">
        <f>[1]Субсидия_факт!T14</f>
        <v>0</v>
      </c>
      <c r="DW14" s="770">
        <f>[1]Субсидия_факт!V14</f>
        <v>0</v>
      </c>
      <c r="DX14" s="957">
        <f>SUM(DY14:EA14)</f>
        <v>0</v>
      </c>
      <c r="DY14" s="770"/>
      <c r="DZ14" s="770"/>
      <c r="EA14" s="770"/>
      <c r="EB14" s="801">
        <f>SUM(EC14:ED14)</f>
        <v>0</v>
      </c>
      <c r="EC14" s="766">
        <f>[1]Субсидия_факт!AX14</f>
        <v>0</v>
      </c>
      <c r="ED14" s="767">
        <f>[1]Субсидия_факт!AZ14</f>
        <v>0</v>
      </c>
      <c r="EE14" s="957">
        <f>SUM(EF14:EG14)</f>
        <v>0</v>
      </c>
      <c r="EF14" s="789"/>
      <c r="EG14" s="793"/>
      <c r="EH14" s="801">
        <f>SUM(EI14:EJ14)</f>
        <v>0</v>
      </c>
      <c r="EI14" s="766">
        <f>[1]Субсидия_факт!X14</f>
        <v>0</v>
      </c>
      <c r="EJ14" s="767">
        <f>[1]Субсидия_факт!Z14</f>
        <v>0</v>
      </c>
      <c r="EK14" s="957">
        <f>SUM(EL14:EM14)</f>
        <v>0</v>
      </c>
      <c r="EL14" s="766"/>
      <c r="EM14" s="767"/>
      <c r="EN14" s="920">
        <f>SUM(EO14:EQ14)</f>
        <v>0</v>
      </c>
      <c r="EO14" s="763">
        <f>[1]Субсидия_факт!AP14</f>
        <v>0</v>
      </c>
      <c r="EP14" s="763">
        <f>[1]Субсидия_факт!AL14</f>
        <v>0</v>
      </c>
      <c r="EQ14" s="764">
        <f>[1]Субсидия_факт!AN14</f>
        <v>0</v>
      </c>
      <c r="ER14" s="920">
        <f>SUM(ES14:EU14)</f>
        <v>0</v>
      </c>
      <c r="ES14" s="763"/>
      <c r="ET14" s="763"/>
      <c r="EU14" s="764"/>
      <c r="EV14" s="920">
        <f>SUM(EW14:EX14)</f>
        <v>0</v>
      </c>
      <c r="EW14" s="763">
        <f>[1]Субсидия_факт!HH14</f>
        <v>0</v>
      </c>
      <c r="EX14" s="762">
        <f>[1]Субсидия_факт!HJ14</f>
        <v>0</v>
      </c>
      <c r="EY14" s="910">
        <f>SUM(EZ14:FA14)</f>
        <v>0</v>
      </c>
      <c r="EZ14" s="763"/>
      <c r="FA14" s="762"/>
      <c r="FB14" s="920">
        <f>SUM(FC14:FD14)</f>
        <v>0</v>
      </c>
      <c r="FC14" s="766">
        <f>[1]Субсидия_факт!PK14</f>
        <v>0</v>
      </c>
      <c r="FD14" s="767">
        <f>[1]Субсидия_факт!PQ14</f>
        <v>0</v>
      </c>
      <c r="FE14" s="910">
        <f>SUM(FF14:FG14)</f>
        <v>0</v>
      </c>
      <c r="FF14" s="763"/>
      <c r="FG14" s="764"/>
      <c r="FH14" s="920">
        <f>SUM(FI14:FJ14)</f>
        <v>0</v>
      </c>
      <c r="FI14" s="763">
        <f>[1]Субсидия_факт!PM14</f>
        <v>0</v>
      </c>
      <c r="FJ14" s="762">
        <f>[1]Субсидия_факт!PS14</f>
        <v>0</v>
      </c>
      <c r="FK14" s="910">
        <f>SUM(FL14:FM14)</f>
        <v>0</v>
      </c>
      <c r="FL14" s="763"/>
      <c r="FM14" s="764"/>
      <c r="FN14" s="1233">
        <f>SUM(FO14:FP14)</f>
        <v>0</v>
      </c>
      <c r="FO14" s="763">
        <f t="shared" ref="FO14:FP16" si="184">FI14-FU14</f>
        <v>0</v>
      </c>
      <c r="FP14" s="762">
        <f t="shared" si="184"/>
        <v>0</v>
      </c>
      <c r="FQ14" s="782">
        <f>SUM(FR14:FS14)</f>
        <v>0</v>
      </c>
      <c r="FR14" s="763">
        <f t="shared" ref="FR14:FS16" si="185">FL14-FX14</f>
        <v>0</v>
      </c>
      <c r="FS14" s="762">
        <f t="shared" si="185"/>
        <v>0</v>
      </c>
      <c r="FT14" s="1233">
        <f>SUM(FU14:FV14)</f>
        <v>0</v>
      </c>
      <c r="FU14" s="763">
        <f>[1]Субсидия_факт!PO14</f>
        <v>0</v>
      </c>
      <c r="FV14" s="762">
        <f>[1]Субсидия_факт!PU14</f>
        <v>0</v>
      </c>
      <c r="FW14" s="782">
        <f>SUM(FX14:FY14)</f>
        <v>0</v>
      </c>
      <c r="FX14" s="763"/>
      <c r="FY14" s="764"/>
      <c r="FZ14" s="920">
        <f t="shared" si="55"/>
        <v>0</v>
      </c>
      <c r="GA14" s="766">
        <f>[1]Субсидия_факт!EP14</f>
        <v>0</v>
      </c>
      <c r="GB14" s="767">
        <f>[1]Субсидия_факт!ER14</f>
        <v>0</v>
      </c>
      <c r="GC14" s="1234">
        <f>SUM(GD14:GE14)</f>
        <v>0</v>
      </c>
      <c r="GD14" s="766"/>
      <c r="GE14" s="767"/>
      <c r="GF14" s="801">
        <f>SUM(GG14:GH14)</f>
        <v>165355175.51999998</v>
      </c>
      <c r="GG14" s="766">
        <f>[1]Субсидия_факт!JN14</f>
        <v>8267795.29</v>
      </c>
      <c r="GH14" s="767">
        <f>[1]Субсидия_факт!JP14</f>
        <v>157087380.22999999</v>
      </c>
      <c r="GI14" s="801">
        <f>SUM(GJ14:GK14)</f>
        <v>53185653.219999999</v>
      </c>
      <c r="GJ14" s="766">
        <v>2659293.25</v>
      </c>
      <c r="GK14" s="767">
        <v>50526359.969999999</v>
      </c>
      <c r="GL14" s="783">
        <f>SUM(GM14:GN14)</f>
        <v>0</v>
      </c>
      <c r="GM14" s="763">
        <f>[1]Субсидия_факт!JR14</f>
        <v>0</v>
      </c>
      <c r="GN14" s="764">
        <f>[1]Субсидия_факт!JV14</f>
        <v>0</v>
      </c>
      <c r="GO14" s="1235">
        <f>SUM(GP14:GQ14)</f>
        <v>0</v>
      </c>
      <c r="GP14" s="766"/>
      <c r="GQ14" s="793"/>
      <c r="GR14" s="1235">
        <f>GL14-GT14</f>
        <v>0</v>
      </c>
      <c r="GS14" s="783">
        <f>GO14-GU14</f>
        <v>0</v>
      </c>
      <c r="GT14" s="1252">
        <f>GL14</f>
        <v>0</v>
      </c>
      <c r="GU14" s="783">
        <f>GO14</f>
        <v>0</v>
      </c>
      <c r="GV14" s="1234">
        <f>SUM(GW14:GY14)</f>
        <v>0</v>
      </c>
      <c r="GW14" s="766">
        <f>[1]Субсидия_факт!KL14</f>
        <v>0</v>
      </c>
      <c r="GX14" s="767">
        <f>[1]Субсидия_факт!KN14</f>
        <v>0</v>
      </c>
      <c r="GY14" s="766">
        <f>[1]Субсидия_факт!KP14</f>
        <v>0</v>
      </c>
      <c r="GZ14" s="801">
        <f>SUM(HA14:HC14)</f>
        <v>0</v>
      </c>
      <c r="HA14" s="766"/>
      <c r="HB14" s="767"/>
      <c r="HC14" s="770"/>
      <c r="HD14" s="1235">
        <f>HE14</f>
        <v>0</v>
      </c>
      <c r="HE14" s="766">
        <f>[1]Субсидия_факт!KR14</f>
        <v>0</v>
      </c>
      <c r="HF14" s="1235">
        <f>HG14</f>
        <v>0</v>
      </c>
      <c r="HG14" s="770"/>
      <c r="HH14" s="1235">
        <f>HD14-HJ14</f>
        <v>0</v>
      </c>
      <c r="HI14" s="1235">
        <f>HF14-HK14</f>
        <v>0</v>
      </c>
      <c r="HJ14" s="1235">
        <f>HD14</f>
        <v>0</v>
      </c>
      <c r="HK14" s="1235">
        <f>HF14</f>
        <v>0</v>
      </c>
      <c r="HL14" s="957">
        <f>SUM(HM14:HN14)</f>
        <v>0</v>
      </c>
      <c r="HM14" s="766">
        <f>[1]Субсидия_факт!KV14</f>
        <v>0</v>
      </c>
      <c r="HN14" s="767">
        <f>[1]Субсидия_факт!KX14</f>
        <v>0</v>
      </c>
      <c r="HO14" s="957">
        <f>SUM(HP14:HQ14)</f>
        <v>0</v>
      </c>
      <c r="HP14" s="766"/>
      <c r="HQ14" s="767"/>
      <c r="HR14" s="801">
        <f>SUM(HS14:HT14)</f>
        <v>0</v>
      </c>
      <c r="HS14" s="766"/>
      <c r="HT14" s="767"/>
      <c r="HU14" s="957">
        <f>SUM(HV14:HW14)</f>
        <v>0</v>
      </c>
      <c r="HV14" s="766"/>
      <c r="HW14" s="767"/>
      <c r="HX14" s="957">
        <f>SUM(HY14:HZ14)</f>
        <v>0</v>
      </c>
      <c r="HY14" s="766">
        <f>[1]Субсидия_факт!FV14</f>
        <v>0</v>
      </c>
      <c r="HZ14" s="767">
        <f>[1]Субсидия_факт!FZ14</f>
        <v>0</v>
      </c>
      <c r="IA14" s="957">
        <f>SUM(IB14:IC14)</f>
        <v>0</v>
      </c>
      <c r="IB14" s="766"/>
      <c r="IC14" s="767"/>
      <c r="ID14" s="1233">
        <f>SUM(IE14:IF14)</f>
        <v>0</v>
      </c>
      <c r="IE14" s="763">
        <f t="shared" ref="IE14:IF16" si="186">HY14-IK14</f>
        <v>0</v>
      </c>
      <c r="IF14" s="762">
        <f t="shared" si="186"/>
        <v>0</v>
      </c>
      <c r="IG14" s="782">
        <f>SUM(IH14:II14)</f>
        <v>0</v>
      </c>
      <c r="IH14" s="763">
        <f t="shared" ref="IH14:II16" si="187">IB14-IN14</f>
        <v>0</v>
      </c>
      <c r="II14" s="762">
        <f t="shared" si="187"/>
        <v>0</v>
      </c>
      <c r="IJ14" s="1233">
        <f>SUM(IK14:IL14)</f>
        <v>0</v>
      </c>
      <c r="IK14" s="763">
        <f>[1]Субсидия_факт!FX14</f>
        <v>0</v>
      </c>
      <c r="IL14" s="762">
        <f>[1]Субсидия_факт!GB14</f>
        <v>0</v>
      </c>
      <c r="IM14" s="782">
        <f>SUM(IN14:IO14)</f>
        <v>0</v>
      </c>
      <c r="IN14" s="763">
        <f t="shared" ref="IN14:IN30" si="188">IB14</f>
        <v>0</v>
      </c>
      <c r="IO14" s="764">
        <f t="shared" ref="IO14:IO30" si="189">IC14</f>
        <v>0</v>
      </c>
      <c r="IP14" s="801">
        <f>SUM(IQ14:IR14)</f>
        <v>0</v>
      </c>
      <c r="IQ14" s="766">
        <f>[1]Субсидия_факт!ED14</f>
        <v>0</v>
      </c>
      <c r="IR14" s="767">
        <f>[1]Субсидия_факт!EF14</f>
        <v>0</v>
      </c>
      <c r="IS14" s="957">
        <f>SUM(IT14:IU14)</f>
        <v>0</v>
      </c>
      <c r="IT14" s="766"/>
      <c r="IU14" s="767"/>
      <c r="IV14" s="1254">
        <f>SUM(IW14:IX14)</f>
        <v>0</v>
      </c>
      <c r="IW14" s="763">
        <f>[1]Субсидия_факт!EH14</f>
        <v>0</v>
      </c>
      <c r="IX14" s="764">
        <f>[1]Субсидия_факт!EL14</f>
        <v>0</v>
      </c>
      <c r="IY14" s="1254">
        <f>SUM(IZ14:JA14)</f>
        <v>0</v>
      </c>
      <c r="IZ14" s="766"/>
      <c r="JA14" s="793"/>
      <c r="JB14" s="1235">
        <f>IV14-JD14</f>
        <v>0</v>
      </c>
      <c r="JC14" s="1235">
        <f>IY14-JE14</f>
        <v>0</v>
      </c>
      <c r="JD14" s="1235">
        <f>IV14</f>
        <v>0</v>
      </c>
      <c r="JE14" s="783">
        <f>IY14</f>
        <v>0</v>
      </c>
      <c r="JF14" s="801">
        <f>SUM(JG14:JH14)</f>
        <v>0</v>
      </c>
      <c r="JG14" s="766">
        <f>[1]Субсидия_факт!BX14</f>
        <v>0</v>
      </c>
      <c r="JH14" s="767">
        <f>[1]Субсидия_факт!BZ14</f>
        <v>0</v>
      </c>
      <c r="JI14" s="957">
        <f>SUM(JJ14:JK14)</f>
        <v>0</v>
      </c>
      <c r="JJ14" s="766"/>
      <c r="JK14" s="767"/>
      <c r="JL14" s="957">
        <f>SUM(JM14:JN14)</f>
        <v>0</v>
      </c>
      <c r="JM14" s="766">
        <f>[1]Субсидия_факт!ET14</f>
        <v>0</v>
      </c>
      <c r="JN14" s="767">
        <f>[1]Субсидия_факт!EV14</f>
        <v>0</v>
      </c>
      <c r="JO14" s="957">
        <f>SUM(JP14:JQ14)</f>
        <v>0</v>
      </c>
      <c r="JP14" s="766"/>
      <c r="JQ14" s="767"/>
      <c r="JR14" s="910">
        <f>SUM(JS14:JT14)</f>
        <v>0</v>
      </c>
      <c r="JS14" s="763">
        <f>[1]Субсидия_факт!EX14</f>
        <v>0</v>
      </c>
      <c r="JT14" s="762">
        <f>[1]Субсидия_факт!FD14</f>
        <v>0</v>
      </c>
      <c r="JU14" s="910">
        <f>SUM(JV14:JW14)</f>
        <v>0</v>
      </c>
      <c r="JV14" s="763"/>
      <c r="JW14" s="764"/>
      <c r="JX14" s="910">
        <f>SUM(JY14:JZ14)</f>
        <v>0</v>
      </c>
      <c r="JY14" s="763">
        <f>[1]Субсидия_факт!EZ14</f>
        <v>0</v>
      </c>
      <c r="JZ14" s="764">
        <f>[1]Субсидия_факт!FF14</f>
        <v>0</v>
      </c>
      <c r="KA14" s="910">
        <f>SUM(KB14:KC14)</f>
        <v>0</v>
      </c>
      <c r="KB14" s="754"/>
      <c r="KC14" s="768"/>
      <c r="KD14" s="910">
        <f>SUM(KE14:KF14)</f>
        <v>-317626.71999999997</v>
      </c>
      <c r="KE14" s="755">
        <f>'Проверочная  таблица'!JY14-'Проверочная  таблица'!KK14</f>
        <v>-82582.949999999983</v>
      </c>
      <c r="KF14" s="764">
        <f>'Проверочная  таблица'!JZ14-'Проверочная  таблица'!KL14</f>
        <v>-235043.77</v>
      </c>
      <c r="KG14" s="1225">
        <f>SUM(KH14:KI14)</f>
        <v>0</v>
      </c>
      <c r="KH14" s="754">
        <f>'Проверочная  таблица'!KB14-'Проверочная  таблица'!KN14</f>
        <v>0</v>
      </c>
      <c r="KI14" s="771">
        <f>'Проверочная  таблица'!KC14-'Проверочная  таблица'!KO14</f>
        <v>0</v>
      </c>
      <c r="KJ14" s="910">
        <f>SUM(KK14:KL14)</f>
        <v>317626.71999999997</v>
      </c>
      <c r="KK14" s="763">
        <f>[1]Субсидия_факт!FB14</f>
        <v>82582.949999999983</v>
      </c>
      <c r="KL14" s="762">
        <f>[1]Субсидия_факт!FH14</f>
        <v>235043.77</v>
      </c>
      <c r="KM14" s="782">
        <f>SUM(KN14:KO14)</f>
        <v>0</v>
      </c>
      <c r="KN14" s="763"/>
      <c r="KO14" s="764"/>
      <c r="KP14" s="1217">
        <f>SUM(KQ14:KT14)</f>
        <v>1542607.34</v>
      </c>
      <c r="KQ14" s="754">
        <f>[1]Субсидия_факт!OD14</f>
        <v>995830</v>
      </c>
      <c r="KR14" s="764">
        <f>[1]Субсидия_факт!OJ14</f>
        <v>227717.34</v>
      </c>
      <c r="KS14" s="754">
        <f>[1]Субсидия_факт!OR14</f>
        <v>115993.52</v>
      </c>
      <c r="KT14" s="764">
        <f>[1]Субсидия_факт!OT14</f>
        <v>203066.48</v>
      </c>
      <c r="KU14" s="1217">
        <f>SUM(KV14:KY14)</f>
        <v>0</v>
      </c>
      <c r="KV14" s="754"/>
      <c r="KW14" s="764"/>
      <c r="KX14" s="754"/>
      <c r="KY14" s="764"/>
      <c r="KZ14" s="1217">
        <f>SUM(LA14:LD14)</f>
        <v>113870</v>
      </c>
      <c r="LA14" s="789">
        <f>[1]Субсидия_факт!OF14</f>
        <v>113870</v>
      </c>
      <c r="LB14" s="767">
        <f>[1]Субсидия_факт!OL14</f>
        <v>0</v>
      </c>
      <c r="LC14" s="789"/>
      <c r="LD14" s="767"/>
      <c r="LE14" s="1217">
        <f>SUM(LF14:LI14)</f>
        <v>0</v>
      </c>
      <c r="LF14" s="754"/>
      <c r="LG14" s="764"/>
      <c r="LH14" s="754"/>
      <c r="LI14" s="764"/>
      <c r="LJ14" s="1219">
        <f>SUM(LK14:LL14)</f>
        <v>-91320</v>
      </c>
      <c r="LK14" s="789">
        <f t="shared" ref="LK14:LL16" si="190">LA14-LQ14</f>
        <v>-91320</v>
      </c>
      <c r="LL14" s="767">
        <f t="shared" si="190"/>
        <v>0</v>
      </c>
      <c r="LM14" s="1219">
        <f>SUM(LN14:LO14)</f>
        <v>0</v>
      </c>
      <c r="LN14" s="789">
        <f t="shared" ref="LN14:LO16" si="191">LF14-LT14</f>
        <v>0</v>
      </c>
      <c r="LO14" s="767">
        <f t="shared" si="191"/>
        <v>0</v>
      </c>
      <c r="LP14" s="1219">
        <f>SUM(LQ14:LR14)</f>
        <v>205190</v>
      </c>
      <c r="LQ14" s="763">
        <f>[1]Субсидия_факт!OH14</f>
        <v>205190</v>
      </c>
      <c r="LR14" s="762">
        <f>[1]Субсидия_факт!ON14</f>
        <v>0</v>
      </c>
      <c r="LS14" s="1219">
        <f>SUM(LT14:LU14)</f>
        <v>0</v>
      </c>
      <c r="LT14" s="755"/>
      <c r="LU14" s="764"/>
      <c r="LV14" s="957">
        <f>SUM(LW14:LY14)</f>
        <v>0</v>
      </c>
      <c r="LW14" s="769">
        <f>[1]Субсидия_факт!DP14</f>
        <v>0</v>
      </c>
      <c r="LX14" s="754">
        <f>[1]Субсидия_факт!CB14</f>
        <v>0</v>
      </c>
      <c r="LY14" s="764">
        <f>[1]Субсидия_факт!CH14</f>
        <v>0</v>
      </c>
      <c r="LZ14" s="957">
        <f>SUM(MA14:MC14)</f>
        <v>0</v>
      </c>
      <c r="MA14" s="769"/>
      <c r="MB14" s="754"/>
      <c r="MC14" s="764"/>
      <c r="MD14" s="957">
        <f>SUM(ME14:MG14)</f>
        <v>0</v>
      </c>
      <c r="ME14" s="769">
        <f>[1]Субсидия_факт!DR14</f>
        <v>0</v>
      </c>
      <c r="MF14" s="754">
        <f>[1]Субсидия_факт!CD14</f>
        <v>0</v>
      </c>
      <c r="MG14" s="764">
        <f>[1]Субсидия_факт!CJ14</f>
        <v>0</v>
      </c>
      <c r="MH14" s="957">
        <f>SUM(MI14:MK14)</f>
        <v>0</v>
      </c>
      <c r="MI14" s="769"/>
      <c r="MJ14" s="754"/>
      <c r="MK14" s="762"/>
      <c r="ML14" s="783">
        <f>SUM(MM14:MO14)</f>
        <v>0</v>
      </c>
      <c r="MM14" s="766">
        <f>'Проверочная  таблица'!ME14-MU14</f>
        <v>0</v>
      </c>
      <c r="MN14" s="766">
        <f>'Проверочная  таблица'!MF14-MV14</f>
        <v>0</v>
      </c>
      <c r="MO14" s="767">
        <f>'Проверочная  таблица'!MG14-MW14</f>
        <v>0</v>
      </c>
      <c r="MP14" s="783">
        <f>SUM(MQ14:MS14)</f>
        <v>0</v>
      </c>
      <c r="MQ14" s="766">
        <f>'Проверочная  таблица'!MI14-MY14</f>
        <v>0</v>
      </c>
      <c r="MR14" s="766">
        <f>'Проверочная  таблица'!MJ14-MZ14</f>
        <v>0</v>
      </c>
      <c r="MS14" s="767">
        <f>'Проверочная  таблица'!MK14-NA14</f>
        <v>0</v>
      </c>
      <c r="MT14" s="783">
        <f>SUM(MU14:MW14)</f>
        <v>0</v>
      </c>
      <c r="MU14" s="754">
        <f>[1]Субсидия_факт!DT14</f>
        <v>0</v>
      </c>
      <c r="MV14" s="754">
        <f>[1]Субсидия_факт!CF14</f>
        <v>0</v>
      </c>
      <c r="MW14" s="764">
        <f>[1]Субсидия_факт!CL14</f>
        <v>0</v>
      </c>
      <c r="MX14" s="783">
        <f>SUM(MY14:NA14)</f>
        <v>0</v>
      </c>
      <c r="MY14" s="754"/>
      <c r="MZ14" s="754"/>
      <c r="NA14" s="764"/>
      <c r="NB14" s="1224">
        <f>SUM(NC14:NI14)</f>
        <v>317626.71999999997</v>
      </c>
      <c r="NC14" s="754">
        <f>[1]Субсидия_факт!CN14</f>
        <v>0</v>
      </c>
      <c r="ND14" s="762">
        <f>[1]Субсидия_факт!CP14</f>
        <v>0</v>
      </c>
      <c r="NE14" s="766">
        <f>[1]Субсидия_факт!CR14</f>
        <v>0</v>
      </c>
      <c r="NF14" s="767">
        <f>[1]Субсидия_факт!CT14</f>
        <v>0</v>
      </c>
      <c r="NG14" s="755">
        <f>[1]Субсидия_факт!DV14</f>
        <v>0</v>
      </c>
      <c r="NH14" s="763">
        <f>[1]Субсидия_факт!FJ14</f>
        <v>82582.949999999983</v>
      </c>
      <c r="NI14" s="762">
        <f>[1]Субсидия_факт!FP14</f>
        <v>235043.77</v>
      </c>
      <c r="NJ14" s="910">
        <f>SUM(NK14:NQ14)</f>
        <v>317626.71999999997</v>
      </c>
      <c r="NK14" s="754"/>
      <c r="NL14" s="764"/>
      <c r="NM14" s="770"/>
      <c r="NN14" s="794"/>
      <c r="NO14" s="754"/>
      <c r="NP14" s="754">
        <f t="shared" ref="NP14:NQ16" si="192">NH14</f>
        <v>82582.949999999983</v>
      </c>
      <c r="NQ14" s="764">
        <f t="shared" si="192"/>
        <v>235043.77</v>
      </c>
      <c r="NR14" s="910">
        <f>SUM(NS14:NT14)</f>
        <v>0</v>
      </c>
      <c r="NS14" s="763">
        <f>[1]Субсидия_факт!FL14</f>
        <v>0</v>
      </c>
      <c r="NT14" s="762">
        <f>[1]Субсидия_факт!FR14</f>
        <v>0</v>
      </c>
      <c r="NU14" s="910">
        <f>SUM(NV14:NW14)</f>
        <v>0</v>
      </c>
      <c r="NV14" s="755"/>
      <c r="NW14" s="764"/>
      <c r="NX14" s="782">
        <f>SUM(NY14:NZ14)</f>
        <v>0</v>
      </c>
      <c r="NY14" s="763">
        <f>'Проверочная  таблица'!NS14-OE14</f>
        <v>0</v>
      </c>
      <c r="NZ14" s="764">
        <f>'Проверочная  таблица'!NT14-OF14</f>
        <v>0</v>
      </c>
      <c r="OA14" s="782">
        <f>SUM(OB14:OC14)</f>
        <v>0</v>
      </c>
      <c r="OB14" s="754">
        <f>'Проверочная  таблица'!NV14-OH14</f>
        <v>0</v>
      </c>
      <c r="OC14" s="771">
        <f>'Проверочная  таблица'!NW14-OI14</f>
        <v>0</v>
      </c>
      <c r="OD14" s="782">
        <f>SUM(OE14:OF14)</f>
        <v>0</v>
      </c>
      <c r="OE14" s="763">
        <f>[1]Субсидия_факт!FN14</f>
        <v>0</v>
      </c>
      <c r="OF14" s="762">
        <f>[1]Субсидия_факт!FT14</f>
        <v>0</v>
      </c>
      <c r="OG14" s="782">
        <f>SUM(OH14:OI14)</f>
        <v>0</v>
      </c>
      <c r="OH14" s="754"/>
      <c r="OI14" s="764"/>
      <c r="OJ14" s="919">
        <f>SUM(OK14:OM14)</f>
        <v>0</v>
      </c>
      <c r="OK14" s="763">
        <f>[1]Субсидия_факт!AR14</f>
        <v>0</v>
      </c>
      <c r="OL14" s="762">
        <f>[1]Субсидия_факт!AT14</f>
        <v>0</v>
      </c>
      <c r="OM14" s="763">
        <f>[1]Субсидия_факт!AV14</f>
        <v>0</v>
      </c>
      <c r="ON14" s="957">
        <f>SUM(OO14:OQ14)</f>
        <v>0</v>
      </c>
      <c r="OO14" s="770"/>
      <c r="OP14" s="767"/>
      <c r="OQ14" s="770"/>
      <c r="OR14" s="1238">
        <f>SUM(OS14:OU14)</f>
        <v>15000000</v>
      </c>
      <c r="OS14" s="763">
        <f>[1]Субсидия_факт!GD14</f>
        <v>0</v>
      </c>
      <c r="OT14" s="762">
        <f>[1]Субсидия_факт!GJ14</f>
        <v>0</v>
      </c>
      <c r="OU14" s="770">
        <f>[1]Субсидия_факт!GP14</f>
        <v>15000000</v>
      </c>
      <c r="OV14" s="1238">
        <f>SUM(OW14:OY14)</f>
        <v>7399606.71</v>
      </c>
      <c r="OW14" s="755"/>
      <c r="OX14" s="764"/>
      <c r="OY14" s="754">
        <v>7399606.71</v>
      </c>
      <c r="OZ14" s="1217">
        <f>SUM(PA14:PC14)</f>
        <v>0</v>
      </c>
      <c r="PA14" s="763">
        <f>[1]Субсидия_факт!GF14</f>
        <v>0</v>
      </c>
      <c r="PB14" s="762">
        <f>[1]Субсидия_факт!GL14</f>
        <v>0</v>
      </c>
      <c r="PC14" s="754">
        <f>[1]Субсидия_факт!GR14</f>
        <v>0</v>
      </c>
      <c r="PD14" s="1217">
        <f>SUM(PE14:PG14)</f>
        <v>0</v>
      </c>
      <c r="PE14" s="754"/>
      <c r="PF14" s="771"/>
      <c r="PG14" s="754"/>
      <c r="PH14" s="1219">
        <f>SUM(PI14:PK14)</f>
        <v>0</v>
      </c>
      <c r="PI14" s="789">
        <f>'Проверочная  таблица'!PA14-PQ14</f>
        <v>0</v>
      </c>
      <c r="PJ14" s="767">
        <f>'Проверочная  таблица'!PB14-PR14</f>
        <v>0</v>
      </c>
      <c r="PK14" s="770">
        <f>'Проверочная  таблица'!PC14-PS14</f>
        <v>0</v>
      </c>
      <c r="PL14" s="1219">
        <f>SUM(PM14:PO14)</f>
        <v>0</v>
      </c>
      <c r="PM14" s="755">
        <f>'Проверочная  таблица'!PE14-PU14</f>
        <v>0</v>
      </c>
      <c r="PN14" s="764">
        <f>'Проверочная  таблица'!PF14-PV14</f>
        <v>0</v>
      </c>
      <c r="PO14" s="754">
        <f>'Проверочная  таблица'!PG14-PW14</f>
        <v>0</v>
      </c>
      <c r="PP14" s="1219">
        <f>SUM(PQ14:PS14)</f>
        <v>0</v>
      </c>
      <c r="PQ14" s="763">
        <f>[1]Субсидия_факт!GH14</f>
        <v>0</v>
      </c>
      <c r="PR14" s="762">
        <f>[1]Субсидия_факт!GN14</f>
        <v>0</v>
      </c>
      <c r="PS14" s="763">
        <f>[1]Субсидия_факт!GT14</f>
        <v>0</v>
      </c>
      <c r="PT14" s="1219">
        <f>SUM(PU14:PW14)</f>
        <v>0</v>
      </c>
      <c r="PU14" s="755">
        <f t="shared" ref="PU14:PU30" si="193">PE14</f>
        <v>0</v>
      </c>
      <c r="PV14" s="764">
        <f t="shared" ref="PV14:PV30" si="194">PF14</f>
        <v>0</v>
      </c>
      <c r="PW14" s="763"/>
      <c r="PX14" s="910">
        <f t="shared" ref="PX14:PX30" si="195">SUM(PY14:QB14)</f>
        <v>171852053.88</v>
      </c>
      <c r="PY14" s="766">
        <f>[1]Субсидия_факт!JB14</f>
        <v>152102.69</v>
      </c>
      <c r="PZ14" s="767">
        <f>[1]Субсидия_факт!JH14</f>
        <v>2889951.19</v>
      </c>
      <c r="QA14" s="766">
        <v>8440500</v>
      </c>
      <c r="QB14" s="767">
        <v>160369500</v>
      </c>
      <c r="QC14" s="910">
        <f t="shared" ref="QC14:QC30" si="196">SUM(QD14:QG14)</f>
        <v>39922412.100000001</v>
      </c>
      <c r="QD14" s="770"/>
      <c r="QE14" s="794"/>
      <c r="QF14" s="770">
        <v>1996120.61</v>
      </c>
      <c r="QG14" s="794">
        <v>37926291.490000002</v>
      </c>
      <c r="QH14" s="957">
        <f>SUM(QI14:QJ14)</f>
        <v>0</v>
      </c>
      <c r="QI14" s="766">
        <f>[1]Субсидия_факт!JD14</f>
        <v>0</v>
      </c>
      <c r="QJ14" s="767">
        <f>[1]Субсидия_факт!JJ14</f>
        <v>0</v>
      </c>
      <c r="QK14" s="1253">
        <f>SUM(QL14:QM14)</f>
        <v>0</v>
      </c>
      <c r="QL14" s="770"/>
      <c r="QM14" s="794"/>
      <c r="QN14" s="783">
        <f>SUM(QO14:QP14)</f>
        <v>0</v>
      </c>
      <c r="QO14" s="770">
        <f t="shared" ref="QO14:QP16" si="197">QI14-QU14</f>
        <v>0</v>
      </c>
      <c r="QP14" s="767">
        <f t="shared" si="197"/>
        <v>0</v>
      </c>
      <c r="QQ14" s="1235">
        <f>SUM(QR14:QS14)</f>
        <v>0</v>
      </c>
      <c r="QR14" s="766">
        <f t="shared" ref="QR14:QS16" si="198">QL14-QX14</f>
        <v>0</v>
      </c>
      <c r="QS14" s="767">
        <f t="shared" si="198"/>
        <v>0</v>
      </c>
      <c r="QT14" s="1235">
        <f>SUM(QU14:QV14)</f>
        <v>0</v>
      </c>
      <c r="QU14" s="766">
        <f>[1]Субсидия_факт!JF14</f>
        <v>0</v>
      </c>
      <c r="QV14" s="767">
        <f>[1]Субсидия_факт!JL14</f>
        <v>0</v>
      </c>
      <c r="QW14" s="783">
        <f>SUM(QX14:QY14)</f>
        <v>0</v>
      </c>
      <c r="QX14" s="770"/>
      <c r="QY14" s="794"/>
      <c r="QZ14" s="957">
        <f>SUM(RA14:RB14)</f>
        <v>0</v>
      </c>
      <c r="RA14" s="766">
        <f>[1]Субсидия_факт!CV14</f>
        <v>0</v>
      </c>
      <c r="RB14" s="767">
        <f>[1]Субсидия_факт!CX14</f>
        <v>0</v>
      </c>
      <c r="RC14" s="957">
        <f>SUM(RD14:RE14)</f>
        <v>0</v>
      </c>
      <c r="RD14" s="766"/>
      <c r="RE14" s="767"/>
      <c r="RF14" s="801">
        <f>SUM(RG14:RH14)</f>
        <v>0</v>
      </c>
      <c r="RG14" s="766">
        <f>[1]Субсидия_факт!CZ14</f>
        <v>0</v>
      </c>
      <c r="RH14" s="767">
        <f>[1]Субсидия_факт!DF14</f>
        <v>0</v>
      </c>
      <c r="RI14" s="957">
        <f>SUM(RJ14:RK14)</f>
        <v>0</v>
      </c>
      <c r="RJ14" s="766"/>
      <c r="RK14" s="767"/>
      <c r="RL14" s="801">
        <f t="shared" si="127"/>
        <v>0</v>
      </c>
      <c r="RM14" s="766">
        <f>[1]Субсидия_факт!DB14</f>
        <v>0</v>
      </c>
      <c r="RN14" s="767">
        <f>[1]Субсидия_факт!DH14</f>
        <v>0</v>
      </c>
      <c r="RO14" s="957">
        <f>SUM(RP14:RQ14)</f>
        <v>0</v>
      </c>
      <c r="RP14" s="766"/>
      <c r="RQ14" s="767"/>
      <c r="RR14" s="1235">
        <f>SUM(RS14:RT14)</f>
        <v>0</v>
      </c>
      <c r="RS14" s="766">
        <f t="shared" ref="RS14:RT16" si="199">RM14-RY14</f>
        <v>0</v>
      </c>
      <c r="RT14" s="767">
        <f t="shared" si="199"/>
        <v>0</v>
      </c>
      <c r="RU14" s="783">
        <f>SUM(RV14:RW14)</f>
        <v>0</v>
      </c>
      <c r="RV14" s="766">
        <f t="shared" ref="RV14:RW16" si="200">RP14-SB14</f>
        <v>0</v>
      </c>
      <c r="RW14" s="767">
        <f t="shared" si="200"/>
        <v>0</v>
      </c>
      <c r="RX14" s="801">
        <f t="shared" si="133"/>
        <v>0</v>
      </c>
      <c r="RY14" s="766">
        <f>[1]Субсидия_факт!DD14</f>
        <v>0</v>
      </c>
      <c r="RZ14" s="767">
        <f>[1]Субсидия_факт!DJ14</f>
        <v>0</v>
      </c>
      <c r="SA14" s="783">
        <f>SUM(SB14:SC14)</f>
        <v>0</v>
      </c>
      <c r="SB14" s="766"/>
      <c r="SC14" s="767"/>
      <c r="SD14" s="801">
        <f>SUM(SE14:SF14)</f>
        <v>0</v>
      </c>
      <c r="SE14" s="766">
        <f>[1]Субсидия_факт!DL14</f>
        <v>0</v>
      </c>
      <c r="SF14" s="767">
        <f>[1]Субсидия_факт!DN14</f>
        <v>0</v>
      </c>
      <c r="SG14" s="1253">
        <f>SUM(SH14:SI14)</f>
        <v>0</v>
      </c>
      <c r="SH14" s="789"/>
      <c r="SI14" s="793"/>
      <c r="SJ14" s="957">
        <f>SUM(SK14:SM14)</f>
        <v>0</v>
      </c>
      <c r="SK14" s="763">
        <f>[1]Субсидия_факт!BJ14</f>
        <v>0</v>
      </c>
      <c r="SL14" s="766">
        <f>[1]Субсидия_факт!BF14</f>
        <v>0</v>
      </c>
      <c r="SM14" s="793">
        <f>[1]Субсидия_факт!BH14</f>
        <v>0</v>
      </c>
      <c r="SN14" s="957">
        <f>SUM(SO14:SQ14)</f>
        <v>0</v>
      </c>
      <c r="SO14" s="795"/>
      <c r="SP14" s="789"/>
      <c r="SQ14" s="793"/>
      <c r="SR14" s="801">
        <f t="shared" si="138"/>
        <v>0</v>
      </c>
      <c r="SS14" s="766">
        <f>[1]Субсидия_факт!AD14</f>
        <v>0</v>
      </c>
      <c r="ST14" s="767">
        <f>[1]Субсидия_факт!AF14</f>
        <v>0</v>
      </c>
      <c r="SU14" s="957">
        <f>SUM(SV14:SW14)</f>
        <v>0</v>
      </c>
      <c r="SV14" s="789"/>
      <c r="SW14" s="793"/>
      <c r="SX14" s="801">
        <f>SUM(SY14:TD14)</f>
        <v>596573622.53999996</v>
      </c>
      <c r="SY14" s="766">
        <f>[1]Субсидия_факт!ID14</f>
        <v>5835828.4599999934</v>
      </c>
      <c r="SZ14" s="767">
        <f>[1]Субсидия_факт!IJ14</f>
        <v>110880741.45</v>
      </c>
      <c r="TA14" s="789">
        <f>[1]Субсидия_факт!IP14</f>
        <v>0</v>
      </c>
      <c r="TB14" s="767">
        <f>[1]Субсидия_факт!IV14</f>
        <v>0</v>
      </c>
      <c r="TC14" s="1028">
        <f>[1]Субсидия_факт!JZ14-QA14</f>
        <v>23992852.629999995</v>
      </c>
      <c r="TD14" s="793">
        <f>[1]Субсидия_факт!KF14-QB14</f>
        <v>455864200</v>
      </c>
      <c r="TE14" s="957">
        <f>SUM(TF14:TK14)</f>
        <v>246903272.60999998</v>
      </c>
      <c r="TF14" s="1162">
        <v>452036.02</v>
      </c>
      <c r="TG14" s="794">
        <v>8588685.3199999966</v>
      </c>
      <c r="TH14" s="1162"/>
      <c r="TI14" s="794"/>
      <c r="TJ14" s="1122">
        <f>13889248.17-QF14</f>
        <v>11893127.560000001</v>
      </c>
      <c r="TK14" s="1123">
        <f>263895715.2-QG14</f>
        <v>225969423.70999998</v>
      </c>
      <c r="TL14" s="801">
        <f>SUM(TM14:TR14)</f>
        <v>3414035.2</v>
      </c>
      <c r="TM14" s="766">
        <f>[1]Субсидия_факт!IF14</f>
        <v>0</v>
      </c>
      <c r="TN14" s="767">
        <f>[1]Субсидия_факт!IL14</f>
        <v>0</v>
      </c>
      <c r="TO14" s="789">
        <f>[1]Субсидия_факт!IR14</f>
        <v>170701.76000000024</v>
      </c>
      <c r="TP14" s="767">
        <f>[1]Субсидия_факт!IX14</f>
        <v>3243333.44</v>
      </c>
      <c r="TQ14" s="789">
        <f>[1]Субсидия_факт!KB14</f>
        <v>0</v>
      </c>
      <c r="TR14" s="767">
        <f>[1]Субсидия_факт!KH14</f>
        <v>0</v>
      </c>
      <c r="TS14" s="957">
        <f>SUM(TT14:TY14)</f>
        <v>0</v>
      </c>
      <c r="TT14" s="770"/>
      <c r="TU14" s="794"/>
      <c r="TV14" s="1028"/>
      <c r="TW14" s="794"/>
      <c r="TX14" s="770"/>
      <c r="TY14" s="794"/>
      <c r="TZ14" s="783">
        <f>SUM(UA14:UF14)</f>
        <v>3414035.2</v>
      </c>
      <c r="UA14" s="766">
        <f t="shared" ref="UA14:UF16" si="201">TM14-UO14</f>
        <v>0</v>
      </c>
      <c r="UB14" s="767">
        <f t="shared" si="201"/>
        <v>0</v>
      </c>
      <c r="UC14" s="766">
        <f t="shared" si="201"/>
        <v>170701.76000000024</v>
      </c>
      <c r="UD14" s="767">
        <f t="shared" si="201"/>
        <v>3243333.44</v>
      </c>
      <c r="UE14" s="789">
        <f t="shared" si="201"/>
        <v>0</v>
      </c>
      <c r="UF14" s="767">
        <f t="shared" si="201"/>
        <v>0</v>
      </c>
      <c r="UG14" s="783">
        <f>SUM(UH14:UM14)</f>
        <v>0</v>
      </c>
      <c r="UH14" s="766">
        <f t="shared" ref="UH14:UM16" si="202">TT14-UV14</f>
        <v>0</v>
      </c>
      <c r="UI14" s="767">
        <f t="shared" si="202"/>
        <v>0</v>
      </c>
      <c r="UJ14" s="766">
        <f t="shared" si="202"/>
        <v>0</v>
      </c>
      <c r="UK14" s="767">
        <f t="shared" si="202"/>
        <v>0</v>
      </c>
      <c r="UL14" s="789">
        <f t="shared" si="202"/>
        <v>0</v>
      </c>
      <c r="UM14" s="767">
        <f t="shared" si="202"/>
        <v>0</v>
      </c>
      <c r="UN14" s="1235">
        <f>SUM(UO14:UT14)</f>
        <v>0</v>
      </c>
      <c r="UO14" s="766">
        <f>[1]Субсидия_факт!IH14</f>
        <v>0</v>
      </c>
      <c r="UP14" s="767">
        <f>[1]Субсидия_факт!IN14</f>
        <v>0</v>
      </c>
      <c r="UQ14" s="789">
        <f>[1]Субсидия_факт!IT14</f>
        <v>0</v>
      </c>
      <c r="UR14" s="767">
        <f>[1]Субсидия_факт!IZ14</f>
        <v>0</v>
      </c>
      <c r="US14" s="789">
        <f>[1]Субсидия_факт!KD14</f>
        <v>0</v>
      </c>
      <c r="UT14" s="767">
        <f>[1]Субсидия_факт!KJ14</f>
        <v>0</v>
      </c>
      <c r="UU14" s="783">
        <f>SUM(UV14:VA14)</f>
        <v>0</v>
      </c>
      <c r="UV14" s="1028"/>
      <c r="UW14" s="794"/>
      <c r="UX14" s="1028"/>
      <c r="UY14" s="794"/>
      <c r="UZ14" s="1028"/>
      <c r="VA14" s="794"/>
      <c r="VB14" s="957">
        <f>'Прочая  субсидия_МР  и  ГО'!B9</f>
        <v>194244211.05000001</v>
      </c>
      <c r="VC14" s="957">
        <f>'Прочая  субсидия_МР  и  ГО'!C9</f>
        <v>24438368.100000001</v>
      </c>
      <c r="VD14" s="1234">
        <f>'Прочая  субсидия_БП'!B9</f>
        <v>299720.09000000003</v>
      </c>
      <c r="VE14" s="801">
        <f>'Прочая  субсидия_БП'!C9</f>
        <v>0</v>
      </c>
      <c r="VF14" s="1255">
        <f>'Прочая  субсидия_БП'!D9</f>
        <v>184315.53000000003</v>
      </c>
      <c r="VG14" s="1248">
        <f>'Прочая  субсидия_БП'!E9</f>
        <v>0</v>
      </c>
      <c r="VH14" s="1249">
        <f>'Прочая  субсидия_БП'!F9</f>
        <v>115404.56</v>
      </c>
      <c r="VI14" s="1255">
        <f>'Прочая  субсидия_БП'!G9</f>
        <v>0</v>
      </c>
      <c r="VJ14" s="801">
        <f>SUM(VK14:VL14)</f>
        <v>489031214.16000003</v>
      </c>
      <c r="VK14" s="770">
        <f>'Проверочная  таблица'!WM14+'Проверочная  таблица'!VP14+'Проверочная  таблица'!VR14+WG14</f>
        <v>477476567.79000002</v>
      </c>
      <c r="VL14" s="795">
        <f>'Проверочная  таблица'!WN14+'Проверочная  таблица'!VV14+'Проверочная  таблица'!WB14+'Проверочная  таблица'!VX14+'Проверочная  таблица'!VZ14+WD14+WH14+VT14</f>
        <v>11554646.370000001</v>
      </c>
      <c r="VM14" s="957">
        <f>SUM(VN14:VO14)</f>
        <v>261336011.19000003</v>
      </c>
      <c r="VN14" s="770">
        <f>'Проверочная  таблица'!WP14+'Проверочная  таблица'!VQ14+'Проверочная  таблица'!VS14+WJ14</f>
        <v>254338260.86000001</v>
      </c>
      <c r="VO14" s="795">
        <f>'Проверочная  таблица'!WQ14+'Проверочная  таблица'!VW14+'Проверочная  таблица'!WC14+'Проверочная  таблица'!VY14+'Проверочная  таблица'!WA14+WE14+WK14+VU14</f>
        <v>6997750.3300000001</v>
      </c>
      <c r="VP14" s="1253">
        <f>'Субвенция  на  полномочия'!B9</f>
        <v>458976871.32000005</v>
      </c>
      <c r="VQ14" s="1234">
        <f>'Субвенция  на  полномочия'!C9</f>
        <v>244611178</v>
      </c>
      <c r="VR14" s="790">
        <f>[1]Субвенция_факт!M13*1000</f>
        <v>13958360</v>
      </c>
      <c r="VS14" s="796">
        <v>6790000</v>
      </c>
      <c r="VT14" s="790">
        <f>[1]Субвенция_факт!AE13*1000</f>
        <v>2743300</v>
      </c>
      <c r="VU14" s="796">
        <f>ВУС!E7</f>
        <v>340854.24</v>
      </c>
      <c r="VV14" s="790">
        <f>[1]Субвенция_факт!AF13*1000</f>
        <v>0</v>
      </c>
      <c r="VW14" s="796"/>
      <c r="VX14" s="1256">
        <f>[1]Субвенция_факт!AG13*1000</f>
        <v>0</v>
      </c>
      <c r="VY14" s="797"/>
      <c r="VZ14" s="792">
        <f>[1]Субвенция_факт!E13*1000</f>
        <v>0</v>
      </c>
      <c r="WA14" s="797"/>
      <c r="WB14" s="792">
        <f>[1]Субвенция_факт!F13*1000</f>
        <v>0</v>
      </c>
      <c r="WC14" s="797"/>
      <c r="WD14" s="791">
        <f>[1]Субвенция_факт!G13*1000</f>
        <v>0</v>
      </c>
      <c r="WE14" s="796"/>
      <c r="WF14" s="801">
        <f>SUM(WG14:WH14)</f>
        <v>10886954.560000001</v>
      </c>
      <c r="WG14" s="766">
        <f>[1]Субвенция_факт!P13*1000</f>
        <v>2830608.1900000004</v>
      </c>
      <c r="WH14" s="767">
        <f>[1]Субвенция_факт!Q13*1000</f>
        <v>8056346.3700000001</v>
      </c>
      <c r="WI14" s="957">
        <f>SUM(WJ14:WK14)</f>
        <v>8481087.9000000004</v>
      </c>
      <c r="WJ14" s="770">
        <v>2205082.86</v>
      </c>
      <c r="WK14" s="798">
        <v>6276005.04</v>
      </c>
      <c r="WL14" s="957">
        <f>SUM(WM14:WN14)</f>
        <v>2465728.2799999998</v>
      </c>
      <c r="WM14" s="799">
        <f>[1]Субвенция_факт!X13*1000</f>
        <v>1710728.2799999998</v>
      </c>
      <c r="WN14" s="800">
        <f>[1]Субвенция_факт!W13*1000</f>
        <v>755000</v>
      </c>
      <c r="WO14" s="957">
        <f>SUM(WP14:WQ14)</f>
        <v>1112891.05</v>
      </c>
      <c r="WP14" s="770">
        <v>732000</v>
      </c>
      <c r="WQ14" s="798">
        <v>380891.05</v>
      </c>
      <c r="WR14" s="957">
        <f>WT14+WZ14+XF14+XL14+XP14+XX14+YT14</f>
        <v>112706367.06999999</v>
      </c>
      <c r="WS14" s="957">
        <f>WW14+XC14+XI14+XN14+XR14+YI14+YZ14</f>
        <v>32948976.869999997</v>
      </c>
      <c r="WT14" s="1253">
        <f>SUM(WU14:WV14)</f>
        <v>0</v>
      </c>
      <c r="WU14" s="799">
        <f>'[1]Иные межбюджетные трансферты'!AM14</f>
        <v>0</v>
      </c>
      <c r="WV14" s="800">
        <f>'[1]Иные межбюджетные трансферты'!AO14</f>
        <v>0</v>
      </c>
      <c r="WW14" s="1253">
        <f>SUM(WX14:WY14)</f>
        <v>0</v>
      </c>
      <c r="WX14" s="799"/>
      <c r="WY14" s="800"/>
      <c r="WZ14" s="957">
        <f>SUM(XA14:XB14)</f>
        <v>3505048.8</v>
      </c>
      <c r="XA14" s="799">
        <f>'[1]Иные межбюджетные трансферты'!AI14</f>
        <v>175252.44</v>
      </c>
      <c r="XB14" s="800">
        <f>'[1]Иные межбюджетные трансферты'!AK14</f>
        <v>3329796.36</v>
      </c>
      <c r="XC14" s="957">
        <f>SUM(XD14:XE14)</f>
        <v>2336699.1800000002</v>
      </c>
      <c r="XD14" s="799">
        <v>116834.96</v>
      </c>
      <c r="XE14" s="800">
        <v>2219864.2200000002</v>
      </c>
      <c r="XF14" s="957">
        <f>SUM(XG14:XH14)</f>
        <v>15525211</v>
      </c>
      <c r="XG14" s="799">
        <f>'[1]Иные межбюджетные трансферты'!I14</f>
        <v>0</v>
      </c>
      <c r="XH14" s="800">
        <f>'[1]Иные межбюджетные трансферты'!K14</f>
        <v>15525211</v>
      </c>
      <c r="XI14" s="957">
        <f>SUM(XJ14:XK14)</f>
        <v>15524761</v>
      </c>
      <c r="XJ14" s="786"/>
      <c r="XK14" s="800">
        <v>15524761</v>
      </c>
      <c r="XL14" s="957">
        <f>SUM(XM14:XM14)</f>
        <v>0</v>
      </c>
      <c r="XM14" s="789"/>
      <c r="XN14" s="957">
        <f>SUM(XO14:XO14)</f>
        <v>0</v>
      </c>
      <c r="XO14" s="789"/>
      <c r="XP14" s="801">
        <f>SUM(XQ14:XQ14)</f>
        <v>0</v>
      </c>
      <c r="XQ14" s="766">
        <f>'[1]Иные межбюджетные трансферты'!M14</f>
        <v>0</v>
      </c>
      <c r="XR14" s="957">
        <f>SUM(XS14:XS14)</f>
        <v>0</v>
      </c>
      <c r="XS14" s="770"/>
      <c r="XT14" s="1252">
        <f>XP14-XV14</f>
        <v>0</v>
      </c>
      <c r="XU14" s="783">
        <f>XR14-XW14</f>
        <v>0</v>
      </c>
      <c r="XV14" s="1252">
        <f>XP14</f>
        <v>0</v>
      </c>
      <c r="XW14" s="783">
        <f>XR14</f>
        <v>0</v>
      </c>
      <c r="XX14" s="957">
        <f>SUM(XY14:YH14)</f>
        <v>93676107.269999996</v>
      </c>
      <c r="XY14" s="787">
        <f>'[1]Иные межбюджетные трансферты'!E14</f>
        <v>0</v>
      </c>
      <c r="XZ14" s="799">
        <f>'[1]Иные межбюджетные трансферты'!G14</f>
        <v>0</v>
      </c>
      <c r="YA14" s="786">
        <f>'[1]Иные межбюджетные трансферты'!Q14</f>
        <v>6378526</v>
      </c>
      <c r="YB14" s="787">
        <f>'[1]Иные межбюджетные трансферты'!W14</f>
        <v>0</v>
      </c>
      <c r="YC14" s="786">
        <f>'[1]Иные межбюджетные трансферты'!Y14</f>
        <v>6694800</v>
      </c>
      <c r="YD14" s="1116">
        <f>'[1]Иные межбюджетные трансферты'!AE14</f>
        <v>73457366</v>
      </c>
      <c r="YE14" s="786">
        <f>'[1]Иные межбюджетные трансферты'!AQ14</f>
        <v>3307047.49</v>
      </c>
      <c r="YF14" s="766">
        <f>'[1]Иные межбюджетные трансферты'!AW14</f>
        <v>0</v>
      </c>
      <c r="YG14" s="786">
        <f>'[1]Иные межбюджетные трансферты'!AY14</f>
        <v>0</v>
      </c>
      <c r="YH14" s="1116">
        <f>'[1]Иные межбюджетные трансферты'!BA14</f>
        <v>3838367.78</v>
      </c>
      <c r="YI14" s="957">
        <f>SUM(YJ14:YS14)</f>
        <v>15087516.689999999</v>
      </c>
      <c r="YJ14" s="786"/>
      <c r="YK14" s="786"/>
      <c r="YL14" s="755">
        <v>375000</v>
      </c>
      <c r="YM14" s="786"/>
      <c r="YN14" s="751">
        <f>YC14</f>
        <v>6694800</v>
      </c>
      <c r="YO14" s="751">
        <v>5736504.29</v>
      </c>
      <c r="YP14" s="751"/>
      <c r="YQ14" s="751"/>
      <c r="YR14" s="751"/>
      <c r="YS14" s="751">
        <v>2281212.4</v>
      </c>
      <c r="YT14" s="957">
        <f>SUM(YU14:YY14)</f>
        <v>0</v>
      </c>
      <c r="YU14" s="799">
        <f>'[1]Иные межбюджетные трансферты'!S14</f>
        <v>0</v>
      </c>
      <c r="YV14" s="786">
        <f>'[1]Иные межбюджетные трансферты'!AA14</f>
        <v>0</v>
      </c>
      <c r="YW14" s="1116">
        <f>'[1]Иные межбюджетные трансферты'!AG14</f>
        <v>0</v>
      </c>
      <c r="YX14" s="787">
        <f>'[1]Иные межбюджетные трансферты'!AS14</f>
        <v>0</v>
      </c>
      <c r="YY14" s="751">
        <f>'[1]Иные межбюджетные трансферты'!BC14</f>
        <v>0</v>
      </c>
      <c r="YZ14" s="957">
        <f>SUM(ZA14:ZE14)</f>
        <v>0</v>
      </c>
      <c r="ZA14" s="769"/>
      <c r="ZB14" s="769">
        <f>YV14</f>
        <v>0</v>
      </c>
      <c r="ZC14" s="769"/>
      <c r="ZD14" s="751"/>
      <c r="ZE14" s="751"/>
      <c r="ZF14" s="783">
        <f>SUM(ZG14:ZK14)</f>
        <v>0</v>
      </c>
      <c r="ZG14" s="763">
        <f>'Проверочная  таблица'!YU14-ZS14</f>
        <v>0</v>
      </c>
      <c r="ZH14" s="763">
        <f>'Проверочная  таблица'!YV14-ZT14</f>
        <v>0</v>
      </c>
      <c r="ZI14" s="763">
        <f>'Проверочная  таблица'!YW14-ZU14</f>
        <v>0</v>
      </c>
      <c r="ZJ14" s="763">
        <f>'Проверочная  таблица'!YX14-ZV14</f>
        <v>0</v>
      </c>
      <c r="ZK14" s="763">
        <f>'Проверочная  таблица'!YY14-ZW14</f>
        <v>0</v>
      </c>
      <c r="ZL14" s="783">
        <f>SUM(ZM14:ZQ14)</f>
        <v>0</v>
      </c>
      <c r="ZM14" s="763">
        <f>'Проверочная  таблица'!ZA14-ZY14</f>
        <v>0</v>
      </c>
      <c r="ZN14" s="763">
        <f>'Проверочная  таблица'!ZB14-ZZ14</f>
        <v>0</v>
      </c>
      <c r="ZO14" s="763">
        <f>'Проверочная  таблица'!ZC14-AAA14</f>
        <v>0</v>
      </c>
      <c r="ZP14" s="763">
        <f>'Проверочная  таблица'!ZD14-AAB14</f>
        <v>0</v>
      </c>
      <c r="ZQ14" s="763">
        <f>'Проверочная  таблица'!ZE14-AAC14</f>
        <v>0</v>
      </c>
      <c r="ZR14" s="783">
        <f>SUM(ZS14:ZW14)</f>
        <v>0</v>
      </c>
      <c r="ZS14" s="799">
        <f>'[1]Иные межбюджетные трансферты'!U14</f>
        <v>0</v>
      </c>
      <c r="ZT14" s="786">
        <f>'[1]Иные межбюджетные трансферты'!AC14</f>
        <v>0</v>
      </c>
      <c r="ZU14" s="787"/>
      <c r="ZV14" s="799">
        <f>'[1]Иные межбюджетные трансферты'!AU14</f>
        <v>0</v>
      </c>
      <c r="ZW14" s="751"/>
      <c r="ZX14" s="783">
        <f>SUM(ZY14:AAC14)</f>
        <v>0</v>
      </c>
      <c r="ZY14" s="769"/>
      <c r="ZZ14" s="769">
        <f>ZB14</f>
        <v>0</v>
      </c>
      <c r="AAA14" s="769"/>
      <c r="AAB14" s="751"/>
      <c r="AAC14" s="751"/>
      <c r="AAD14" s="957">
        <f>AAF14+'Проверочная  таблица'!AAN14+AAJ14+'Проверочная  таблица'!AAR14+AAL14+'Проверочная  таблица'!AAT14</f>
        <v>0</v>
      </c>
      <c r="AAE14" s="957">
        <f>AAG14+'Проверочная  таблица'!AAO14+AAK14+'Проверочная  таблица'!AAS14+AAM14+'Проверочная  таблица'!AAU14</f>
        <v>0</v>
      </c>
      <c r="AAF14" s="801"/>
      <c r="AAG14" s="801"/>
      <c r="AAH14" s="801"/>
      <c r="AAI14" s="801"/>
      <c r="AAJ14" s="1235">
        <f t="shared" ref="AAJ14:AAK16" si="203">AAH14-AAL14</f>
        <v>0</v>
      </c>
      <c r="AAK14" s="783">
        <f t="shared" si="203"/>
        <v>0</v>
      </c>
      <c r="AAL14" s="802"/>
      <c r="AAM14" s="783"/>
      <c r="AAN14" s="801"/>
      <c r="AAO14" s="801"/>
      <c r="AAP14" s="801"/>
      <c r="AAQ14" s="801"/>
      <c r="AAR14" s="1235">
        <f t="shared" ref="AAR14:AAS16" si="204">AAP14-AAT14</f>
        <v>0</v>
      </c>
      <c r="AAS14" s="783">
        <f t="shared" si="204"/>
        <v>0</v>
      </c>
      <c r="AAT14" s="783"/>
      <c r="AAU14" s="783"/>
      <c r="AAV14" s="1246">
        <f>'Проверочная  таблица'!AAN14+'Проверочная  таблица'!AAP14</f>
        <v>0</v>
      </c>
      <c r="AAW14" s="1246">
        <f>'Проверочная  таблица'!AAO14+'Проверочная  таблица'!AAQ14</f>
        <v>0</v>
      </c>
    </row>
    <row r="15" spans="1:725" ht="24" customHeight="1" x14ac:dyDescent="0.25">
      <c r="A15" s="807" t="s">
        <v>1303</v>
      </c>
      <c r="B15" s="762">
        <f>D15+AN15+'Проверочная  таблица'!VJ15+'Проверочная  таблица'!WR15</f>
        <v>836245061.32999992</v>
      </c>
      <c r="C15" s="764">
        <f>E15+'Проверочная  таблица'!VM15+AO15+'Проверочная  таблица'!WS15</f>
        <v>322343748.57999998</v>
      </c>
      <c r="D15" s="1234">
        <f t="shared" si="177"/>
        <v>185528920</v>
      </c>
      <c r="E15" s="801">
        <f t="shared" si="1"/>
        <v>92760000</v>
      </c>
      <c r="F15" s="1238">
        <f>'[1]Дотация  из  ОБ_факт'!M16</f>
        <v>185528920</v>
      </c>
      <c r="G15" s="1247">
        <v>92760000</v>
      </c>
      <c r="H15" s="1238">
        <f>'[1]Дотация  из  ОБ_факт'!G16</f>
        <v>0</v>
      </c>
      <c r="I15" s="1247"/>
      <c r="J15" s="1248">
        <f t="shared" si="178"/>
        <v>0</v>
      </c>
      <c r="K15" s="1249">
        <f t="shared" si="178"/>
        <v>0</v>
      </c>
      <c r="L15" s="1248">
        <f>'[1]Дотация  из  ОБ_факт'!K16</f>
        <v>0</v>
      </c>
      <c r="M15" s="785"/>
      <c r="N15" s="1238">
        <f>'[1]Дотация  из  ОБ_факт'!Q16</f>
        <v>0</v>
      </c>
      <c r="O15" s="1247"/>
      <c r="P15" s="1238">
        <f>'[1]Дотация  из  ОБ_факт'!S16</f>
        <v>0</v>
      </c>
      <c r="Q15" s="1247"/>
      <c r="R15" s="1248">
        <f t="shared" si="179"/>
        <v>0</v>
      </c>
      <c r="S15" s="1249">
        <f t="shared" si="179"/>
        <v>0</v>
      </c>
      <c r="T15" s="1248">
        <f>'[1]Дотация  из  ОБ_факт'!W16</f>
        <v>0</v>
      </c>
      <c r="U15" s="785"/>
      <c r="V15" s="790">
        <f>SUM(W15:Y15)</f>
        <v>0</v>
      </c>
      <c r="W15" s="1250">
        <f>'[1]Дотация  из  ОБ_факт'!$AA$16</f>
        <v>0</v>
      </c>
      <c r="X15" s="1251">
        <f>'[1]Дотация  из  ОБ_факт'!$AC$16</f>
        <v>0</v>
      </c>
      <c r="Y15" s="1251">
        <f>'[1]Дотация  из  ОБ_факт'!$AG$16</f>
        <v>0</v>
      </c>
      <c r="Z15" s="791">
        <f>SUM(AA15:AC15)</f>
        <v>0</v>
      </c>
      <c r="AA15" s="751">
        <f t="shared" si="180"/>
        <v>0</v>
      </c>
      <c r="AB15" s="751">
        <f t="shared" si="180"/>
        <v>0</v>
      </c>
      <c r="AC15" s="786"/>
      <c r="AD15" s="790">
        <f>SUM(AE15:AF15)</f>
        <v>0</v>
      </c>
      <c r="AE15" s="1250">
        <f>'[1]Дотация  из  ОБ_факт'!$Y$16</f>
        <v>0</v>
      </c>
      <c r="AF15" s="1251">
        <f>'[1]Дотация  из  ОБ_факт'!$AE$16</f>
        <v>0</v>
      </c>
      <c r="AG15" s="790">
        <f>SUM(AH15:AI15)</f>
        <v>0</v>
      </c>
      <c r="AH15" s="787"/>
      <c r="AI15" s="786"/>
      <c r="AJ15" s="1248">
        <f t="shared" si="8"/>
        <v>0</v>
      </c>
      <c r="AK15" s="1249">
        <f t="shared" si="181"/>
        <v>0</v>
      </c>
      <c r="AL15" s="1248">
        <f>'[1]Дотация  из  ОБ_факт'!AE16</f>
        <v>0</v>
      </c>
      <c r="AM15" s="788"/>
      <c r="AN15" s="919">
        <f>'Проверочная  таблица'!VB15+'Проверочная  таблица'!VD15+BT15+BV15+CH15+CJ15+BH15+BL15+'Проверочная  таблица'!NB15+'Проверочная  таблица'!NR15+'Проверочная  таблица'!EB15+'Проверочная  таблица'!OJ15+DT15+'Проверочная  таблица'!JR15+'Проверочная  таблица'!JX15+'Проверочная  таблица'!OR15+'Проверочная  таблица'!OZ15+JL15+AP15+AV15+FB15+FH15+CV15+SX15+EH15+TL15+QH15+EN15+EV15+LV15+MD15+SR15+GV15+SD15+RF15+KP15+KZ15+RL15+SJ15+CP15+QZ15+HL15+GF15+HR15+HX15+FZ15+DJ15+PX15+CB15+IP15+JF15+HD15+GL15+IV15</f>
        <v>321574078.29999995</v>
      </c>
      <c r="AO15" s="920">
        <f>'Проверочная  таблица'!VC15+'Проверочная  таблица'!VE15+BU15+BW15+CI15+CK15+BJ15+BN15+'Проверочная  таблица'!NJ15+'Проверочная  таблица'!NU15+'Проверочная  таблица'!EE15+'Проверочная  таблица'!ON15+DX15+'Проверочная  таблица'!JU15+'Проверочная  таблица'!KA15+'Проверочная  таблица'!OV15+'Проверочная  таблица'!PD15+JO15+AS15+AX15+FE15+FK15+DC15+TE15+EK15+TS15+QK15+ER15+EY15+LZ15+MH15+SU15+GZ15+SG15+RI15+KU15+LE15+RO15+SN15+CS15+RC15+HO15+GI15+HU15+IA15+GC15+DM15+QC15+CE15+IS15+JI15+HF15+GO15+IY15</f>
        <v>69756983.449999988</v>
      </c>
      <c r="AP15" s="921">
        <f>SUM(AQ15:AR15)</f>
        <v>16551305.479999999</v>
      </c>
      <c r="AQ15" s="789">
        <f>[1]Субсидия_факт!HV18</f>
        <v>16551305.479999999</v>
      </c>
      <c r="AR15" s="770">
        <f>[1]Субсидия_факт!MR18</f>
        <v>0</v>
      </c>
      <c r="AS15" s="921">
        <f>SUM(AT15:AU15)</f>
        <v>0</v>
      </c>
      <c r="AT15" s="770">
        <v>0</v>
      </c>
      <c r="AU15" s="789"/>
      <c r="AV15" s="910">
        <f>SUM(AW15:AW15)</f>
        <v>0</v>
      </c>
      <c r="AW15" s="770">
        <f>[1]Субсидия_факт!MV18</f>
        <v>0</v>
      </c>
      <c r="AX15" s="1224">
        <f>SUM(AY15:AY15)</f>
        <v>0</v>
      </c>
      <c r="AY15" s="770"/>
      <c r="AZ15" s="1225">
        <f>SUM(BA15:BA15)</f>
        <v>0</v>
      </c>
      <c r="BA15" s="770">
        <f>AW15-BE15</f>
        <v>0</v>
      </c>
      <c r="BB15" s="783">
        <f>SUM(BC15:BC15)</f>
        <v>0</v>
      </c>
      <c r="BC15" s="789">
        <f>AY15-BG15</f>
        <v>0</v>
      </c>
      <c r="BD15" s="782">
        <f>SUM(BE15:BE15)</f>
        <v>0</v>
      </c>
      <c r="BE15" s="770">
        <f>[1]Субсидия_факт!MX18</f>
        <v>0</v>
      </c>
      <c r="BF15" s="802">
        <f>SUM(BG15:BG15)</f>
        <v>0</v>
      </c>
      <c r="BG15" s="770"/>
      <c r="BH15" s="801">
        <f>SUM(BI15:BI15)</f>
        <v>0</v>
      </c>
      <c r="BI15" s="770">
        <f>[1]Субсидия_факт!KZ18</f>
        <v>0</v>
      </c>
      <c r="BJ15" s="957">
        <f>SUM(BK15:BK15)</f>
        <v>0</v>
      </c>
      <c r="BK15" s="770"/>
      <c r="BL15" s="801">
        <f>SUM(BM15:BM15)</f>
        <v>0</v>
      </c>
      <c r="BM15" s="770">
        <f>[1]Субсидия_факт!LB18</f>
        <v>0</v>
      </c>
      <c r="BN15" s="957">
        <f>SUM(BO15:BO15)</f>
        <v>0</v>
      </c>
      <c r="BO15" s="770"/>
      <c r="BP15" s="1235">
        <f>BL15-BR15</f>
        <v>0</v>
      </c>
      <c r="BQ15" s="783">
        <f>BN15-BS15</f>
        <v>0</v>
      </c>
      <c r="BR15" s="1252">
        <f>BL15</f>
        <v>0</v>
      </c>
      <c r="BS15" s="1235">
        <f>BN15</f>
        <v>0</v>
      </c>
      <c r="BT15" s="801">
        <f>[1]Субсидия_факт!GV18</f>
        <v>0</v>
      </c>
      <c r="BU15" s="790"/>
      <c r="BV15" s="1253">
        <f>[1]Субсидия_факт!GX18</f>
        <v>0</v>
      </c>
      <c r="BW15" s="791"/>
      <c r="BX15" s="1252">
        <f t="shared" si="182"/>
        <v>0</v>
      </c>
      <c r="BY15" s="1235">
        <f t="shared" si="182"/>
        <v>0</v>
      </c>
      <c r="BZ15" s="783">
        <f>[1]Субсидия_факт!GZ18</f>
        <v>0</v>
      </c>
      <c r="CA15" s="785"/>
      <c r="CB15" s="846">
        <f>SUM(CC15:CD15)</f>
        <v>23600305.479999997</v>
      </c>
      <c r="CC15" s="766">
        <f>[1]Субсидия_факт!HL18</f>
        <v>16551305.479999999</v>
      </c>
      <c r="CD15" s="770">
        <f>[1]Субсидия_факт!HN18</f>
        <v>7049000</v>
      </c>
      <c r="CE15" s="921">
        <f>SUM(CF15:CG15)</f>
        <v>0</v>
      </c>
      <c r="CF15" s="770"/>
      <c r="CG15" s="770"/>
      <c r="CH15" s="957">
        <f>[1]Субсидия_факт!HB18</f>
        <v>0</v>
      </c>
      <c r="CI15" s="792"/>
      <c r="CJ15" s="957">
        <f>[1]Субсидия_факт!HD18</f>
        <v>0</v>
      </c>
      <c r="CK15" s="791"/>
      <c r="CL15" s="1226">
        <f t="shared" si="183"/>
        <v>0</v>
      </c>
      <c r="CM15" s="782">
        <f t="shared" si="183"/>
        <v>0</v>
      </c>
      <c r="CN15" s="1225">
        <f>[1]Субсидия_факт!HF18</f>
        <v>0</v>
      </c>
      <c r="CO15" s="753"/>
      <c r="CP15" s="846">
        <f>SUM(CQ15:CR15)</f>
        <v>4075707.43</v>
      </c>
      <c r="CQ15" s="766">
        <f>[1]Субсидия_факт!HP18</f>
        <v>0</v>
      </c>
      <c r="CR15" s="770">
        <f>[1]Субсидия_факт!HR18</f>
        <v>4075707.43</v>
      </c>
      <c r="CS15" s="921">
        <f>SUM(CT15:CU15)</f>
        <v>0</v>
      </c>
      <c r="CT15" s="770"/>
      <c r="CU15" s="770"/>
      <c r="CV15" s="910">
        <f>SUM(CW15:DB15)</f>
        <v>0</v>
      </c>
      <c r="CW15" s="763">
        <f>[1]Субсидия_факт!LR18</f>
        <v>0</v>
      </c>
      <c r="CX15" s="762">
        <f>[1]Субсидия_факт!LT18</f>
        <v>0</v>
      </c>
      <c r="CY15" s="754">
        <f>[1]Субсидия_факт!LV18</f>
        <v>0</v>
      </c>
      <c r="CZ15" s="762">
        <f>[1]Субсидия_факт!MB18</f>
        <v>0</v>
      </c>
      <c r="DA15" s="754">
        <f>[1]Субсидия_факт!MH18</f>
        <v>0</v>
      </c>
      <c r="DB15" s="762">
        <f>[1]Субсидия_факт!MJ18</f>
        <v>0</v>
      </c>
      <c r="DC15" s="910">
        <f>SUM(DD15:DI15)</f>
        <v>0</v>
      </c>
      <c r="DD15" s="755"/>
      <c r="DE15" s="762"/>
      <c r="DF15" s="754"/>
      <c r="DG15" s="762"/>
      <c r="DH15" s="754"/>
      <c r="DI15" s="762"/>
      <c r="DJ15" s="920">
        <f>SUM(DK15:DL15)</f>
        <v>0</v>
      </c>
      <c r="DK15" s="763">
        <f>[1]Субсидия_факт!LX18</f>
        <v>0</v>
      </c>
      <c r="DL15" s="762">
        <f>[1]Субсидия_факт!MD18</f>
        <v>0</v>
      </c>
      <c r="DM15" s="910">
        <f>SUM(DN15:DO15)</f>
        <v>0</v>
      </c>
      <c r="DN15" s="763"/>
      <c r="DO15" s="764"/>
      <c r="DP15" s="1226">
        <f>DJ15-DR15</f>
        <v>0</v>
      </c>
      <c r="DQ15" s="782">
        <f>DM15-DS15</f>
        <v>0</v>
      </c>
      <c r="DR15" s="1225">
        <f>DJ15</f>
        <v>0</v>
      </c>
      <c r="DS15" s="753">
        <f>DM15</f>
        <v>0</v>
      </c>
      <c r="DT15" s="957">
        <f>SUM(DU15:DW15)</f>
        <v>0</v>
      </c>
      <c r="DU15" s="789">
        <f>[1]Субсидия_факт!R18</f>
        <v>0</v>
      </c>
      <c r="DV15" s="766">
        <f>[1]Субсидия_факт!T18</f>
        <v>0</v>
      </c>
      <c r="DW15" s="770">
        <f>[1]Субсидия_факт!V18</f>
        <v>0</v>
      </c>
      <c r="DX15" s="957">
        <f>SUM(DY15:EA15)</f>
        <v>0</v>
      </c>
      <c r="DY15" s="806"/>
      <c r="DZ15" s="806"/>
      <c r="EA15" s="806"/>
      <c r="EB15" s="846">
        <f>SUM(EC15:ED15)</f>
        <v>0</v>
      </c>
      <c r="EC15" s="766">
        <f>[1]Субсидия_факт!AX18</f>
        <v>0</v>
      </c>
      <c r="ED15" s="767">
        <f>[1]Субсидия_факт!AZ18</f>
        <v>0</v>
      </c>
      <c r="EE15" s="957">
        <f>SUM(EF15:EG15)</f>
        <v>0</v>
      </c>
      <c r="EF15" s="789"/>
      <c r="EG15" s="793"/>
      <c r="EH15" s="801">
        <f>SUM(EI15:EJ15)</f>
        <v>0</v>
      </c>
      <c r="EI15" s="766">
        <f>[1]Субсидия_факт!X18</f>
        <v>0</v>
      </c>
      <c r="EJ15" s="767">
        <f>[1]Субсидия_факт!Z18</f>
        <v>0</v>
      </c>
      <c r="EK15" s="957">
        <f>SUM(EL15:EM15)</f>
        <v>0</v>
      </c>
      <c r="EL15" s="766"/>
      <c r="EM15" s="767"/>
      <c r="EN15" s="920">
        <f>SUM(EO15:EQ15)</f>
        <v>0</v>
      </c>
      <c r="EO15" s="763">
        <f>[1]Субсидия_факт!AP18</f>
        <v>0</v>
      </c>
      <c r="EP15" s="763">
        <f>[1]Субсидия_факт!AL18</f>
        <v>0</v>
      </c>
      <c r="EQ15" s="764">
        <f>[1]Субсидия_факт!AN18</f>
        <v>0</v>
      </c>
      <c r="ER15" s="920">
        <f>SUM(ES15:EU15)</f>
        <v>0</v>
      </c>
      <c r="ES15" s="763"/>
      <c r="ET15" s="763"/>
      <c r="EU15" s="764"/>
      <c r="EV15" s="920">
        <f>SUM(EW15:EX15)</f>
        <v>0</v>
      </c>
      <c r="EW15" s="763">
        <f>[1]Субсидия_факт!HH18</f>
        <v>0</v>
      </c>
      <c r="EX15" s="762">
        <f>[1]Субсидия_факт!HJ18</f>
        <v>0</v>
      </c>
      <c r="EY15" s="910">
        <f>SUM(EZ15:FA15)</f>
        <v>0</v>
      </c>
      <c r="EZ15" s="763"/>
      <c r="FA15" s="762"/>
      <c r="FB15" s="920">
        <f>SUM(FC15:FD15)</f>
        <v>2027026.14</v>
      </c>
      <c r="FC15" s="766">
        <f>[1]Субсидия_факт!PK18</f>
        <v>529080.10999999987</v>
      </c>
      <c r="FD15" s="767">
        <f>[1]Субсидия_факт!PQ18</f>
        <v>1497946.03</v>
      </c>
      <c r="FE15" s="910">
        <f>SUM(FF15:FG15)</f>
        <v>0</v>
      </c>
      <c r="FF15" s="763"/>
      <c r="FG15" s="764"/>
      <c r="FH15" s="920">
        <f>SUM(FI15:FJ15)</f>
        <v>0</v>
      </c>
      <c r="FI15" s="763">
        <f>[1]Субсидия_факт!PM18</f>
        <v>0</v>
      </c>
      <c r="FJ15" s="762">
        <f>[1]Субсидия_факт!PS18</f>
        <v>0</v>
      </c>
      <c r="FK15" s="910">
        <f>SUM(FL15:FM15)</f>
        <v>0</v>
      </c>
      <c r="FL15" s="763"/>
      <c r="FM15" s="764"/>
      <c r="FN15" s="1233">
        <f>SUM(FO15:FP15)</f>
        <v>0</v>
      </c>
      <c r="FO15" s="763">
        <f t="shared" si="184"/>
        <v>0</v>
      </c>
      <c r="FP15" s="762">
        <f t="shared" si="184"/>
        <v>0</v>
      </c>
      <c r="FQ15" s="782">
        <f>SUM(FR15:FS15)</f>
        <v>0</v>
      </c>
      <c r="FR15" s="763">
        <f t="shared" si="185"/>
        <v>0</v>
      </c>
      <c r="FS15" s="762">
        <f t="shared" si="185"/>
        <v>0</v>
      </c>
      <c r="FT15" s="1233">
        <f>SUM(FU15:FV15)</f>
        <v>0</v>
      </c>
      <c r="FU15" s="763">
        <f>[1]Субсидия_факт!PO18</f>
        <v>0</v>
      </c>
      <c r="FV15" s="762">
        <f>[1]Субсидия_факт!PU18</f>
        <v>0</v>
      </c>
      <c r="FW15" s="782">
        <f>SUM(FX15:FY15)</f>
        <v>0</v>
      </c>
      <c r="FX15" s="763"/>
      <c r="FY15" s="764"/>
      <c r="FZ15" s="920">
        <f t="shared" si="55"/>
        <v>0</v>
      </c>
      <c r="GA15" s="766">
        <f>[1]Субсидия_факт!EP18</f>
        <v>0</v>
      </c>
      <c r="GB15" s="767">
        <f>[1]Субсидия_факт!ER18</f>
        <v>0</v>
      </c>
      <c r="GC15" s="1234">
        <f>SUM(GD15:GE15)</f>
        <v>0</v>
      </c>
      <c r="GD15" s="766"/>
      <c r="GE15" s="767"/>
      <c r="GF15" s="846">
        <f>SUM(GG15:GH15)</f>
        <v>10640836.840000004</v>
      </c>
      <c r="GG15" s="812">
        <f>[1]Субсидия_факт!JN18</f>
        <v>10640836.840000004</v>
      </c>
      <c r="GH15" s="813">
        <f>[1]Субсидия_факт!JP18</f>
        <v>0</v>
      </c>
      <c r="GI15" s="846">
        <f>SUM(GJ15:GK15)</f>
        <v>0</v>
      </c>
      <c r="GJ15" s="812"/>
      <c r="GK15" s="813"/>
      <c r="GL15" s="936">
        <f>SUM(GM15:GN15)</f>
        <v>0</v>
      </c>
      <c r="GM15" s="763">
        <f>[1]Субсидия_факт!JR18</f>
        <v>0</v>
      </c>
      <c r="GN15" s="764">
        <f>[1]Субсидия_факт!JV18</f>
        <v>0</v>
      </c>
      <c r="GO15" s="1235">
        <f>SUM(GP15:GQ15)</f>
        <v>0</v>
      </c>
      <c r="GP15" s="766"/>
      <c r="GQ15" s="793"/>
      <c r="GR15" s="1235">
        <f>GL15-GT15</f>
        <v>0</v>
      </c>
      <c r="GS15" s="783">
        <f>GO15-GU15</f>
        <v>0</v>
      </c>
      <c r="GT15" s="1252">
        <f>GL15</f>
        <v>0</v>
      </c>
      <c r="GU15" s="783">
        <f>GO15</f>
        <v>0</v>
      </c>
      <c r="GV15" s="1234">
        <f>SUM(GW15:GY15)</f>
        <v>0</v>
      </c>
      <c r="GW15" s="766">
        <f>[1]Субсидия_факт!KL18</f>
        <v>0</v>
      </c>
      <c r="GX15" s="767">
        <f>[1]Субсидия_факт!KN18</f>
        <v>0</v>
      </c>
      <c r="GY15" s="766">
        <f>[1]Субсидия_факт!KP18</f>
        <v>0</v>
      </c>
      <c r="GZ15" s="801">
        <f>SUM(HA15:HC15)</f>
        <v>0</v>
      </c>
      <c r="HA15" s="766"/>
      <c r="HB15" s="767"/>
      <c r="HC15" s="770"/>
      <c r="HD15" s="1235">
        <f>HE15</f>
        <v>0</v>
      </c>
      <c r="HE15" s="766">
        <f>[1]Субсидия_факт!KR18</f>
        <v>0</v>
      </c>
      <c r="HF15" s="1235">
        <f>HG15</f>
        <v>0</v>
      </c>
      <c r="HG15" s="770"/>
      <c r="HH15" s="1235">
        <f>HD15-HJ15</f>
        <v>0</v>
      </c>
      <c r="HI15" s="1235">
        <f>HF15-HK15</f>
        <v>0</v>
      </c>
      <c r="HJ15" s="1235">
        <f>HD15</f>
        <v>0</v>
      </c>
      <c r="HK15" s="1235">
        <f>HF15</f>
        <v>0</v>
      </c>
      <c r="HL15" s="846">
        <f>SUM(HM15:HN15)</f>
        <v>0</v>
      </c>
      <c r="HM15" s="766">
        <f>[1]Субсидия_факт!KV18</f>
        <v>0</v>
      </c>
      <c r="HN15" s="767">
        <f>[1]Субсидия_факт!KX18</f>
        <v>0</v>
      </c>
      <c r="HO15" s="957">
        <f>SUM(HP15:HQ15)</f>
        <v>0</v>
      </c>
      <c r="HP15" s="766"/>
      <c r="HQ15" s="767"/>
      <c r="HR15" s="846">
        <f>SUM(HS15:HT15)</f>
        <v>0</v>
      </c>
      <c r="HS15" s="812"/>
      <c r="HT15" s="813"/>
      <c r="HU15" s="921">
        <f>SUM(HV15:HW15)</f>
        <v>0</v>
      </c>
      <c r="HV15" s="812"/>
      <c r="HW15" s="813"/>
      <c r="HX15" s="846">
        <f>SUM(HY15:HZ15)</f>
        <v>0</v>
      </c>
      <c r="HY15" s="766">
        <f>[1]Субсидия_факт!FV18</f>
        <v>0</v>
      </c>
      <c r="HZ15" s="767">
        <f>[1]Субсидия_факт!FZ18</f>
        <v>0</v>
      </c>
      <c r="IA15" s="957">
        <f>SUM(IB15:IC15)</f>
        <v>0</v>
      </c>
      <c r="IB15" s="766"/>
      <c r="IC15" s="767"/>
      <c r="ID15" s="1233">
        <f>SUM(IE15:IF15)</f>
        <v>0</v>
      </c>
      <c r="IE15" s="763">
        <f t="shared" si="186"/>
        <v>0</v>
      </c>
      <c r="IF15" s="762">
        <f t="shared" si="186"/>
        <v>0</v>
      </c>
      <c r="IG15" s="782">
        <f>SUM(IH15:II15)</f>
        <v>0</v>
      </c>
      <c r="IH15" s="763">
        <f t="shared" si="187"/>
        <v>0</v>
      </c>
      <c r="II15" s="762">
        <f t="shared" si="187"/>
        <v>0</v>
      </c>
      <c r="IJ15" s="1233">
        <f>SUM(IK15:IL15)</f>
        <v>0</v>
      </c>
      <c r="IK15" s="763">
        <f>[1]Субсидия_факт!FX18</f>
        <v>0</v>
      </c>
      <c r="IL15" s="762">
        <f>[1]Субсидия_факт!GB18</f>
        <v>0</v>
      </c>
      <c r="IM15" s="782">
        <f>SUM(IN15:IO15)</f>
        <v>0</v>
      </c>
      <c r="IN15" s="763">
        <f t="shared" si="188"/>
        <v>0</v>
      </c>
      <c r="IO15" s="764">
        <f t="shared" si="189"/>
        <v>0</v>
      </c>
      <c r="IP15" s="846">
        <f>SUM(IQ15:IR15)</f>
        <v>0</v>
      </c>
      <c r="IQ15" s="812">
        <f>[1]Субсидия_факт!ED18</f>
        <v>0</v>
      </c>
      <c r="IR15" s="813">
        <f>[1]Субсидия_факт!EF18</f>
        <v>0</v>
      </c>
      <c r="IS15" s="921">
        <f>SUM(IT15:IU15)</f>
        <v>0</v>
      </c>
      <c r="IT15" s="812"/>
      <c r="IU15" s="813"/>
      <c r="IV15" s="1146">
        <f>SUM(IW15:IX15)</f>
        <v>0</v>
      </c>
      <c r="IW15" s="763">
        <f>[1]Субсидия_факт!EH18</f>
        <v>0</v>
      </c>
      <c r="IX15" s="764">
        <f>[1]Субсидия_факт!EL18</f>
        <v>0</v>
      </c>
      <c r="IY15" s="1254">
        <f>SUM(IZ15:JA15)</f>
        <v>0</v>
      </c>
      <c r="IZ15" s="766"/>
      <c r="JA15" s="793"/>
      <c r="JB15" s="1235">
        <f>IV15-JD15</f>
        <v>0</v>
      </c>
      <c r="JC15" s="1235">
        <f>IY15-JE15</f>
        <v>0</v>
      </c>
      <c r="JD15" s="1235">
        <f>IV15</f>
        <v>0</v>
      </c>
      <c r="JE15" s="783">
        <f>IY15</f>
        <v>0</v>
      </c>
      <c r="JF15" s="801">
        <f>SUM(JG15:JH15)</f>
        <v>0</v>
      </c>
      <c r="JG15" s="766">
        <f>[1]Субсидия_факт!BX18</f>
        <v>0</v>
      </c>
      <c r="JH15" s="767">
        <f>[1]Субсидия_факт!BZ18</f>
        <v>0</v>
      </c>
      <c r="JI15" s="957">
        <f>SUM(JJ15:JK15)</f>
        <v>0</v>
      </c>
      <c r="JJ15" s="766"/>
      <c r="JK15" s="767"/>
      <c r="JL15" s="957">
        <f>SUM(JM15:JN15)</f>
        <v>0</v>
      </c>
      <c r="JM15" s="766">
        <f>[1]Субсидия_факт!ET18</f>
        <v>0</v>
      </c>
      <c r="JN15" s="767">
        <f>[1]Субсидия_факт!EV18</f>
        <v>0</v>
      </c>
      <c r="JO15" s="957">
        <f>SUM(JP15:JQ15)</f>
        <v>0</v>
      </c>
      <c r="JP15" s="766"/>
      <c r="JQ15" s="767"/>
      <c r="JR15" s="910">
        <f>SUM(JS15:JT15)</f>
        <v>0</v>
      </c>
      <c r="JS15" s="763">
        <f>[1]Субсидия_факт!EX18</f>
        <v>0</v>
      </c>
      <c r="JT15" s="762">
        <f>[1]Субсидия_факт!FD18</f>
        <v>0</v>
      </c>
      <c r="JU15" s="910">
        <f>SUM(JV15:JW15)</f>
        <v>0</v>
      </c>
      <c r="JV15" s="763"/>
      <c r="JW15" s="764"/>
      <c r="JX15" s="910">
        <f>SUM(JY15:JZ15)</f>
        <v>0</v>
      </c>
      <c r="JY15" s="763">
        <f>[1]Субсидия_факт!EZ18</f>
        <v>0</v>
      </c>
      <c r="JZ15" s="764">
        <f>[1]Субсидия_факт!FF18</f>
        <v>0</v>
      </c>
      <c r="KA15" s="910">
        <f>SUM(KB15:KC15)</f>
        <v>0</v>
      </c>
      <c r="KB15" s="754"/>
      <c r="KC15" s="768"/>
      <c r="KD15" s="910">
        <f>SUM(KE15:KF15)</f>
        <v>-122521.57</v>
      </c>
      <c r="KE15" s="755">
        <f>'Проверочная  таблица'!JY15-'Проверочная  таблица'!KK15</f>
        <v>-31855.61</v>
      </c>
      <c r="KF15" s="764">
        <f>'Проверочная  таблица'!JZ15-'Проверочная  таблица'!KL15</f>
        <v>-90665.96</v>
      </c>
      <c r="KG15" s="1225">
        <f>SUM(KH15:KI15)</f>
        <v>0</v>
      </c>
      <c r="KH15" s="754">
        <f>'Проверочная  таблица'!KB15-'Проверочная  таблица'!KN15</f>
        <v>0</v>
      </c>
      <c r="KI15" s="771">
        <f>'Проверочная  таблица'!KC15-'Проверочная  таблица'!KO15</f>
        <v>0</v>
      </c>
      <c r="KJ15" s="910">
        <f>SUM(KK15:KL15)</f>
        <v>122521.57</v>
      </c>
      <c r="KK15" s="763">
        <f>[1]Субсидия_факт!FB18</f>
        <v>31855.61</v>
      </c>
      <c r="KL15" s="762">
        <f>[1]Субсидия_факт!FH18</f>
        <v>90665.96</v>
      </c>
      <c r="KM15" s="782">
        <f>SUM(KN15:KO15)</f>
        <v>0</v>
      </c>
      <c r="KN15" s="763"/>
      <c r="KO15" s="764"/>
      <c r="KP15" s="1217">
        <f>SUM(KQ15:KT15)</f>
        <v>646935.53</v>
      </c>
      <c r="KQ15" s="754">
        <f>[1]Субсидия_факт!OD18</f>
        <v>233000</v>
      </c>
      <c r="KR15" s="764">
        <f>[1]Субсидия_факт!OJ18</f>
        <v>327695.53000000003</v>
      </c>
      <c r="KS15" s="754">
        <f>[1]Субсидия_факт!OR18</f>
        <v>31352.35</v>
      </c>
      <c r="KT15" s="764">
        <f>[1]Субсидия_факт!OT18</f>
        <v>54887.65</v>
      </c>
      <c r="KU15" s="1217">
        <f>SUM(KV15:KY15)</f>
        <v>0</v>
      </c>
      <c r="KV15" s="754"/>
      <c r="KW15" s="764"/>
      <c r="KX15" s="754"/>
      <c r="KY15" s="764"/>
      <c r="KZ15" s="1217">
        <f>SUM(LA15:LD15)</f>
        <v>31210</v>
      </c>
      <c r="LA15" s="789">
        <f>[1]Субсидия_факт!OF18</f>
        <v>31210</v>
      </c>
      <c r="LB15" s="767">
        <f>[1]Субсидия_факт!OL18</f>
        <v>0</v>
      </c>
      <c r="LC15" s="789"/>
      <c r="LD15" s="767"/>
      <c r="LE15" s="1217">
        <f>SUM(LF15:LI15)</f>
        <v>0</v>
      </c>
      <c r="LF15" s="754"/>
      <c r="LG15" s="764"/>
      <c r="LH15" s="754"/>
      <c r="LI15" s="764"/>
      <c r="LJ15" s="1219">
        <f>SUM(LK15:LL15)</f>
        <v>-23820</v>
      </c>
      <c r="LK15" s="789">
        <f t="shared" si="190"/>
        <v>-23820</v>
      </c>
      <c r="LL15" s="767">
        <f t="shared" si="190"/>
        <v>0</v>
      </c>
      <c r="LM15" s="1219">
        <f>SUM(LN15:LO15)</f>
        <v>0</v>
      </c>
      <c r="LN15" s="789">
        <f t="shared" si="191"/>
        <v>0</v>
      </c>
      <c r="LO15" s="767">
        <f t="shared" si="191"/>
        <v>0</v>
      </c>
      <c r="LP15" s="1219">
        <f>SUM(LQ15:LR15)</f>
        <v>55030</v>
      </c>
      <c r="LQ15" s="763">
        <f>[1]Субсидия_факт!OH18</f>
        <v>55030</v>
      </c>
      <c r="LR15" s="762">
        <f>[1]Субсидия_факт!ON18</f>
        <v>0</v>
      </c>
      <c r="LS15" s="1219">
        <f>SUM(LT15:LU15)</f>
        <v>0</v>
      </c>
      <c r="LT15" s="755"/>
      <c r="LU15" s="764"/>
      <c r="LV15" s="957">
        <f>SUM(LW15:LY15)</f>
        <v>0</v>
      </c>
      <c r="LW15" s="769">
        <f>[1]Субсидия_факт!DP18</f>
        <v>0</v>
      </c>
      <c r="LX15" s="754">
        <f>[1]Субсидия_факт!CB18</f>
        <v>0</v>
      </c>
      <c r="LY15" s="764">
        <f>[1]Субсидия_факт!CH18</f>
        <v>0</v>
      </c>
      <c r="LZ15" s="957">
        <f>SUM(MA15:MC15)</f>
        <v>0</v>
      </c>
      <c r="MA15" s="769"/>
      <c r="MB15" s="754"/>
      <c r="MC15" s="764"/>
      <c r="MD15" s="957">
        <f>SUM(ME15:MG15)</f>
        <v>0</v>
      </c>
      <c r="ME15" s="769">
        <f>[1]Субсидия_факт!DR18</f>
        <v>0</v>
      </c>
      <c r="MF15" s="754">
        <f>[1]Субсидия_факт!CD18</f>
        <v>0</v>
      </c>
      <c r="MG15" s="764">
        <f>[1]Субсидия_факт!CJ18</f>
        <v>0</v>
      </c>
      <c r="MH15" s="957">
        <f>SUM(MI15:MK15)</f>
        <v>0</v>
      </c>
      <c r="MI15" s="769"/>
      <c r="MJ15" s="754"/>
      <c r="MK15" s="762"/>
      <c r="ML15" s="783">
        <f>SUM(MM15:MO15)</f>
        <v>0</v>
      </c>
      <c r="MM15" s="766">
        <f>'Проверочная  таблица'!ME15-MU15</f>
        <v>0</v>
      </c>
      <c r="MN15" s="766">
        <f>'Проверочная  таблица'!MF15-MV15</f>
        <v>0</v>
      </c>
      <c r="MO15" s="767">
        <f>'Проверочная  таблица'!MG15-MW15</f>
        <v>0</v>
      </c>
      <c r="MP15" s="783">
        <f>SUM(MQ15:MS15)</f>
        <v>0</v>
      </c>
      <c r="MQ15" s="766">
        <f>'Проверочная  таблица'!MI15-MY15</f>
        <v>0</v>
      </c>
      <c r="MR15" s="766">
        <f>'Проверочная  таблица'!MJ15-MZ15</f>
        <v>0</v>
      </c>
      <c r="MS15" s="767">
        <f>'Проверочная  таблица'!MK15-NA15</f>
        <v>0</v>
      </c>
      <c r="MT15" s="783">
        <f>SUM(MU15:MW15)</f>
        <v>0</v>
      </c>
      <c r="MU15" s="754">
        <f>[1]Субсидия_факт!DT18</f>
        <v>0</v>
      </c>
      <c r="MV15" s="754">
        <f>[1]Субсидия_факт!CF18</f>
        <v>0</v>
      </c>
      <c r="MW15" s="764">
        <f>[1]Субсидия_факт!CL18</f>
        <v>0</v>
      </c>
      <c r="MX15" s="783">
        <f>SUM(MY15:NA15)</f>
        <v>0</v>
      </c>
      <c r="MY15" s="754"/>
      <c r="MZ15" s="754"/>
      <c r="NA15" s="764"/>
      <c r="NB15" s="1224">
        <f>SUM(NC15:NI15)</f>
        <v>122521.57</v>
      </c>
      <c r="NC15" s="754">
        <f>[1]Субсидия_факт!CN18</f>
        <v>0</v>
      </c>
      <c r="ND15" s="762">
        <f>[1]Субсидия_факт!CP18</f>
        <v>0</v>
      </c>
      <c r="NE15" s="766">
        <f>[1]Субсидия_факт!CR18</f>
        <v>0</v>
      </c>
      <c r="NF15" s="767">
        <f>[1]Субсидия_факт!CT18</f>
        <v>0</v>
      </c>
      <c r="NG15" s="755">
        <f>[1]Субсидия_факт!DV18</f>
        <v>0</v>
      </c>
      <c r="NH15" s="763">
        <f>[1]Субсидия_факт!FJ18</f>
        <v>31855.61</v>
      </c>
      <c r="NI15" s="762">
        <f>[1]Субсидия_факт!FP18</f>
        <v>90665.96</v>
      </c>
      <c r="NJ15" s="910">
        <f>SUM(NK15:NQ15)</f>
        <v>122521.57</v>
      </c>
      <c r="NK15" s="754"/>
      <c r="NL15" s="764"/>
      <c r="NM15" s="770"/>
      <c r="NN15" s="794"/>
      <c r="NO15" s="754"/>
      <c r="NP15" s="754">
        <f t="shared" si="192"/>
        <v>31855.61</v>
      </c>
      <c r="NQ15" s="764">
        <f t="shared" si="192"/>
        <v>90665.96</v>
      </c>
      <c r="NR15" s="910">
        <f>SUM(NS15:NT15)</f>
        <v>0</v>
      </c>
      <c r="NS15" s="763">
        <f>[1]Субсидия_факт!FL18</f>
        <v>0</v>
      </c>
      <c r="NT15" s="762">
        <f>[1]Субсидия_факт!FR18</f>
        <v>0</v>
      </c>
      <c r="NU15" s="910">
        <f>SUM(NV15:NW15)</f>
        <v>0</v>
      </c>
      <c r="NV15" s="755"/>
      <c r="NW15" s="764"/>
      <c r="NX15" s="782">
        <f>SUM(NY15:NZ15)</f>
        <v>0</v>
      </c>
      <c r="NY15" s="763">
        <f>'Проверочная  таблица'!NS15-OE15</f>
        <v>0</v>
      </c>
      <c r="NZ15" s="764">
        <f>'Проверочная  таблица'!NT15-OF15</f>
        <v>0</v>
      </c>
      <c r="OA15" s="782">
        <f>SUM(OB15:OC15)</f>
        <v>0</v>
      </c>
      <c r="OB15" s="754">
        <f>'Проверочная  таблица'!NV15-OH15</f>
        <v>0</v>
      </c>
      <c r="OC15" s="771">
        <f>'Проверочная  таблица'!NW15-OI15</f>
        <v>0</v>
      </c>
      <c r="OD15" s="782">
        <f>SUM(OE15:OF15)</f>
        <v>0</v>
      </c>
      <c r="OE15" s="763">
        <f>[1]Субсидия_факт!FN18</f>
        <v>0</v>
      </c>
      <c r="OF15" s="762">
        <f>[1]Субсидия_факт!FT18</f>
        <v>0</v>
      </c>
      <c r="OG15" s="782">
        <f>SUM(OH15:OI15)</f>
        <v>0</v>
      </c>
      <c r="OH15" s="754"/>
      <c r="OI15" s="764"/>
      <c r="OJ15" s="919">
        <f>SUM(OK15:OM15)</f>
        <v>0</v>
      </c>
      <c r="OK15" s="763">
        <f>[1]Субсидия_факт!AR18</f>
        <v>0</v>
      </c>
      <c r="OL15" s="762">
        <f>[1]Субсидия_факт!AT18</f>
        <v>0</v>
      </c>
      <c r="OM15" s="763">
        <f>[1]Субсидия_факт!AV18</f>
        <v>0</v>
      </c>
      <c r="ON15" s="957">
        <f>SUM(OO15:OQ15)</f>
        <v>0</v>
      </c>
      <c r="OO15" s="770"/>
      <c r="OP15" s="767"/>
      <c r="OQ15" s="770"/>
      <c r="OR15" s="1238">
        <f>SUM(OS15:OU15)</f>
        <v>0</v>
      </c>
      <c r="OS15" s="763">
        <f>[1]Субсидия_факт!GD18</f>
        <v>0</v>
      </c>
      <c r="OT15" s="762">
        <f>[1]Субсидия_факт!GJ18</f>
        <v>0</v>
      </c>
      <c r="OU15" s="770">
        <f>[1]Субсидия_факт!GP18</f>
        <v>0</v>
      </c>
      <c r="OV15" s="1238">
        <f>SUM(OW15:OY15)</f>
        <v>0</v>
      </c>
      <c r="OW15" s="755"/>
      <c r="OX15" s="764"/>
      <c r="OY15" s="754"/>
      <c r="OZ15" s="1217">
        <f>SUM(PA15:PC15)</f>
        <v>0</v>
      </c>
      <c r="PA15" s="763">
        <f>[1]Субсидия_факт!GF18</f>
        <v>0</v>
      </c>
      <c r="PB15" s="762">
        <f>[1]Субсидия_факт!GL18</f>
        <v>0</v>
      </c>
      <c r="PC15" s="754">
        <f>[1]Субсидия_факт!GR18</f>
        <v>0</v>
      </c>
      <c r="PD15" s="1217">
        <f>SUM(PE15:PG15)</f>
        <v>0</v>
      </c>
      <c r="PE15" s="754"/>
      <c r="PF15" s="771"/>
      <c r="PG15" s="754"/>
      <c r="PH15" s="1219">
        <f>SUM(PI15:PK15)</f>
        <v>0</v>
      </c>
      <c r="PI15" s="789">
        <f>'Проверочная  таблица'!PA15-PQ15</f>
        <v>0</v>
      </c>
      <c r="PJ15" s="767">
        <f>'Проверочная  таблица'!PB15-PR15</f>
        <v>0</v>
      </c>
      <c r="PK15" s="770">
        <f>'Проверочная  таблица'!PC15-PS15</f>
        <v>0</v>
      </c>
      <c r="PL15" s="1219">
        <f>SUM(PM15:PO15)</f>
        <v>0</v>
      </c>
      <c r="PM15" s="755">
        <f>'Проверочная  таблица'!PE15-PU15</f>
        <v>0</v>
      </c>
      <c r="PN15" s="764">
        <f>'Проверочная  таблица'!PF15-PV15</f>
        <v>0</v>
      </c>
      <c r="PO15" s="754">
        <f>'Проверочная  таблица'!PG15-PW15</f>
        <v>0</v>
      </c>
      <c r="PP15" s="1219">
        <f>SUM(PQ15:PS15)</f>
        <v>0</v>
      </c>
      <c r="PQ15" s="763">
        <f>[1]Субсидия_факт!GH18</f>
        <v>0</v>
      </c>
      <c r="PR15" s="762">
        <f>[1]Субсидия_факт!GN18</f>
        <v>0</v>
      </c>
      <c r="PS15" s="763">
        <f>[1]Субсидия_факт!GT18</f>
        <v>0</v>
      </c>
      <c r="PT15" s="1219">
        <f>SUM(PU15:PW15)</f>
        <v>0</v>
      </c>
      <c r="PU15" s="755">
        <f t="shared" si="193"/>
        <v>0</v>
      </c>
      <c r="PV15" s="764">
        <f t="shared" si="194"/>
        <v>0</v>
      </c>
      <c r="PW15" s="763"/>
      <c r="PX15" s="910">
        <f t="shared" si="195"/>
        <v>0</v>
      </c>
      <c r="PY15" s="766">
        <f>[1]Субсидия_факт!JB18</f>
        <v>0</v>
      </c>
      <c r="PZ15" s="767">
        <f>[1]Субсидия_факт!JH18</f>
        <v>0</v>
      </c>
      <c r="QA15" s="766"/>
      <c r="QB15" s="767"/>
      <c r="QC15" s="910">
        <f t="shared" si="196"/>
        <v>0</v>
      </c>
      <c r="QD15" s="770"/>
      <c r="QE15" s="794"/>
      <c r="QF15" s="770"/>
      <c r="QG15" s="794"/>
      <c r="QH15" s="957">
        <f>SUM(QI15:QJ15)</f>
        <v>0</v>
      </c>
      <c r="QI15" s="766">
        <f>[1]Субсидия_факт!JD18</f>
        <v>0</v>
      </c>
      <c r="QJ15" s="767">
        <f>[1]Субсидия_факт!JJ18</f>
        <v>0</v>
      </c>
      <c r="QK15" s="1253">
        <f>SUM(QL15:QM15)</f>
        <v>0</v>
      </c>
      <c r="QL15" s="770"/>
      <c r="QM15" s="794"/>
      <c r="QN15" s="1257">
        <f>SUM(QO15:QP15)</f>
        <v>0</v>
      </c>
      <c r="QO15" s="770">
        <f t="shared" si="197"/>
        <v>0</v>
      </c>
      <c r="QP15" s="767">
        <f t="shared" si="197"/>
        <v>0</v>
      </c>
      <c r="QQ15" s="1235">
        <f>SUM(QR15:QS15)</f>
        <v>0</v>
      </c>
      <c r="QR15" s="766">
        <f t="shared" si="198"/>
        <v>0</v>
      </c>
      <c r="QS15" s="767">
        <f t="shared" si="198"/>
        <v>0</v>
      </c>
      <c r="QT15" s="1235">
        <f>SUM(QU15:QV15)</f>
        <v>0</v>
      </c>
      <c r="QU15" s="766">
        <f>[1]Субсидия_факт!JF18</f>
        <v>0</v>
      </c>
      <c r="QV15" s="767">
        <f>[1]Субсидия_факт!JL18</f>
        <v>0</v>
      </c>
      <c r="QW15" s="783">
        <f>SUM(QX15:QY15)</f>
        <v>0</v>
      </c>
      <c r="QX15" s="770"/>
      <c r="QY15" s="794"/>
      <c r="QZ15" s="846">
        <f>SUM(RA15:RB15)</f>
        <v>0</v>
      </c>
      <c r="RA15" s="766">
        <f>[1]Субсидия_факт!CV18</f>
        <v>0</v>
      </c>
      <c r="RB15" s="767">
        <f>[1]Субсидия_факт!CX18</f>
        <v>0</v>
      </c>
      <c r="RC15" s="957">
        <f>SUM(RD15:RE15)</f>
        <v>0</v>
      </c>
      <c r="RD15" s="766"/>
      <c r="RE15" s="767"/>
      <c r="RF15" s="801">
        <f>SUM(RG15:RH15)</f>
        <v>0</v>
      </c>
      <c r="RG15" s="766">
        <f>[1]Субсидия_факт!CZ18</f>
        <v>0</v>
      </c>
      <c r="RH15" s="767">
        <f>[1]Субсидия_факт!DF18</f>
        <v>0</v>
      </c>
      <c r="RI15" s="957">
        <f>SUM(RJ15:RK15)</f>
        <v>0</v>
      </c>
      <c r="RJ15" s="766"/>
      <c r="RK15" s="767"/>
      <c r="RL15" s="801">
        <f t="shared" si="127"/>
        <v>0</v>
      </c>
      <c r="RM15" s="766">
        <f>[1]Субсидия_факт!DB18</f>
        <v>0</v>
      </c>
      <c r="RN15" s="767">
        <f>[1]Субсидия_факт!DH18</f>
        <v>0</v>
      </c>
      <c r="RO15" s="957">
        <f>SUM(RP15:RQ15)</f>
        <v>0</v>
      </c>
      <c r="RP15" s="766"/>
      <c r="RQ15" s="767"/>
      <c r="RR15" s="1235">
        <f>SUM(RS15:RT15)</f>
        <v>0</v>
      </c>
      <c r="RS15" s="766">
        <f t="shared" si="199"/>
        <v>0</v>
      </c>
      <c r="RT15" s="767">
        <f t="shared" si="199"/>
        <v>0</v>
      </c>
      <c r="RU15" s="783">
        <f>SUM(RV15:RW15)</f>
        <v>0</v>
      </c>
      <c r="RV15" s="766">
        <f t="shared" si="200"/>
        <v>0</v>
      </c>
      <c r="RW15" s="767">
        <f t="shared" si="200"/>
        <v>0</v>
      </c>
      <c r="RX15" s="801">
        <f t="shared" si="133"/>
        <v>0</v>
      </c>
      <c r="RY15" s="766">
        <f>[1]Субсидия_факт!DD18</f>
        <v>0</v>
      </c>
      <c r="RZ15" s="767">
        <f>[1]Субсидия_факт!DJ18</f>
        <v>0</v>
      </c>
      <c r="SA15" s="783">
        <f>SUM(SB15:SC15)</f>
        <v>0</v>
      </c>
      <c r="SB15" s="766"/>
      <c r="SC15" s="767"/>
      <c r="SD15" s="801">
        <f>SUM(SE15:SF15)</f>
        <v>0</v>
      </c>
      <c r="SE15" s="766">
        <f>[1]Субсидия_факт!DL18</f>
        <v>0</v>
      </c>
      <c r="SF15" s="767">
        <f>[1]Субсидия_факт!DN18</f>
        <v>0</v>
      </c>
      <c r="SG15" s="1253">
        <f>SUM(SH15:SI15)</f>
        <v>0</v>
      </c>
      <c r="SH15" s="789"/>
      <c r="SI15" s="793"/>
      <c r="SJ15" s="957">
        <f>SUM(SK15:SM15)</f>
        <v>0</v>
      </c>
      <c r="SK15" s="763">
        <f>[1]Субсидия_факт!BJ18</f>
        <v>0</v>
      </c>
      <c r="SL15" s="766">
        <f>[1]Субсидия_факт!BF18</f>
        <v>0</v>
      </c>
      <c r="SM15" s="793">
        <f>[1]Субсидия_факт!BH18</f>
        <v>0</v>
      </c>
      <c r="SN15" s="957">
        <f>SUM(SO15:SQ15)</f>
        <v>0</v>
      </c>
      <c r="SO15" s="795"/>
      <c r="SP15" s="789"/>
      <c r="SQ15" s="793"/>
      <c r="SR15" s="801">
        <f t="shared" si="138"/>
        <v>0</v>
      </c>
      <c r="SS15" s="766">
        <f>[1]Субсидия_факт!AD18</f>
        <v>0</v>
      </c>
      <c r="ST15" s="767">
        <f>[1]Субсидия_факт!AF18</f>
        <v>0</v>
      </c>
      <c r="SU15" s="957">
        <f>SUM(SV15:SW15)</f>
        <v>0</v>
      </c>
      <c r="SV15" s="789"/>
      <c r="SW15" s="793"/>
      <c r="SX15" s="801">
        <f>SUM(SY15:TD15)</f>
        <v>212816736.84</v>
      </c>
      <c r="SY15" s="766">
        <f>[1]Субсидия_факт!ID18</f>
        <v>0</v>
      </c>
      <c r="SZ15" s="767">
        <f>[1]Субсидия_факт!IJ18</f>
        <v>0</v>
      </c>
      <c r="TA15" s="789">
        <f>[1]Субсидия_факт!IP18</f>
        <v>0</v>
      </c>
      <c r="TB15" s="767">
        <f>[1]Субсидия_факт!IV18</f>
        <v>0</v>
      </c>
      <c r="TC15" s="1028">
        <f>[1]Субсидия_факт!JZ18</f>
        <v>10640836.840000004</v>
      </c>
      <c r="TD15" s="793">
        <f>[1]Субсидия_факт!KF18</f>
        <v>202175900</v>
      </c>
      <c r="TE15" s="957">
        <f>SUM(TF15:TK15)</f>
        <v>63474823.849999994</v>
      </c>
      <c r="TF15" s="1162"/>
      <c r="TG15" s="794"/>
      <c r="TH15" s="1162"/>
      <c r="TI15" s="794"/>
      <c r="TJ15" s="1028">
        <v>3173741.19</v>
      </c>
      <c r="TK15" s="793">
        <v>60301082.659999996</v>
      </c>
      <c r="TL15" s="801">
        <f>SUM(TM15:TR15)</f>
        <v>0</v>
      </c>
      <c r="TM15" s="766">
        <f>[1]Субсидия_факт!IF18</f>
        <v>0</v>
      </c>
      <c r="TN15" s="767">
        <f>[1]Субсидия_факт!IL18</f>
        <v>0</v>
      </c>
      <c r="TO15" s="789">
        <f>[1]Субсидия_факт!IR18</f>
        <v>0</v>
      </c>
      <c r="TP15" s="767">
        <f>[1]Субсидия_факт!IX18</f>
        <v>0</v>
      </c>
      <c r="TQ15" s="789">
        <f>[1]Субсидия_факт!KB18</f>
        <v>0</v>
      </c>
      <c r="TR15" s="767">
        <f>[1]Субсидия_факт!KH18</f>
        <v>0</v>
      </c>
      <c r="TS15" s="957">
        <f>SUM(TT15:TY15)</f>
        <v>0</v>
      </c>
      <c r="TT15" s="770"/>
      <c r="TU15" s="794"/>
      <c r="TV15" s="1028"/>
      <c r="TW15" s="794"/>
      <c r="TX15" s="770"/>
      <c r="TY15" s="794"/>
      <c r="TZ15" s="783">
        <f>SUM(UA15:UF15)</f>
        <v>0</v>
      </c>
      <c r="UA15" s="766">
        <f t="shared" si="201"/>
        <v>0</v>
      </c>
      <c r="UB15" s="767">
        <f t="shared" si="201"/>
        <v>0</v>
      </c>
      <c r="UC15" s="766">
        <f t="shared" si="201"/>
        <v>0</v>
      </c>
      <c r="UD15" s="767">
        <f t="shared" si="201"/>
        <v>0</v>
      </c>
      <c r="UE15" s="789">
        <f t="shared" si="201"/>
        <v>0</v>
      </c>
      <c r="UF15" s="767">
        <f t="shared" si="201"/>
        <v>0</v>
      </c>
      <c r="UG15" s="783">
        <f>SUM(UH15:UM15)</f>
        <v>0</v>
      </c>
      <c r="UH15" s="766">
        <f t="shared" si="202"/>
        <v>0</v>
      </c>
      <c r="UI15" s="767">
        <f t="shared" si="202"/>
        <v>0</v>
      </c>
      <c r="UJ15" s="766">
        <f t="shared" si="202"/>
        <v>0</v>
      </c>
      <c r="UK15" s="767">
        <f t="shared" si="202"/>
        <v>0</v>
      </c>
      <c r="UL15" s="789">
        <f t="shared" si="202"/>
        <v>0</v>
      </c>
      <c r="UM15" s="767">
        <f t="shared" si="202"/>
        <v>0</v>
      </c>
      <c r="UN15" s="1235">
        <f>SUM(UO15:UT15)</f>
        <v>0</v>
      </c>
      <c r="UO15" s="766">
        <f>[1]Субсидия_факт!IH18</f>
        <v>0</v>
      </c>
      <c r="UP15" s="767">
        <f>[1]Субсидия_факт!IN18</f>
        <v>0</v>
      </c>
      <c r="UQ15" s="789">
        <f>[1]Субсидия_факт!IT18</f>
        <v>0</v>
      </c>
      <c r="UR15" s="767">
        <f>[1]Субсидия_факт!IZ18</f>
        <v>0</v>
      </c>
      <c r="US15" s="789">
        <f>[1]Субсидия_факт!KD18</f>
        <v>0</v>
      </c>
      <c r="UT15" s="767">
        <f>[1]Субсидия_факт!KJ18</f>
        <v>0</v>
      </c>
      <c r="UU15" s="783">
        <f>SUM(UV15:VA15)</f>
        <v>0</v>
      </c>
      <c r="UV15" s="1028"/>
      <c r="UW15" s="794"/>
      <c r="UX15" s="1028"/>
      <c r="UY15" s="794"/>
      <c r="UZ15" s="1028"/>
      <c r="VA15" s="794"/>
      <c r="VB15" s="957">
        <f>'Прочая  субсидия_МР  и  ГО'!B10</f>
        <v>50628214.620000005</v>
      </c>
      <c r="VC15" s="957">
        <f>'Прочая  субсидия_МР  и  ГО'!C10</f>
        <v>6159638.0300000003</v>
      </c>
      <c r="VD15" s="1234">
        <f>'Прочая  субсидия_БП'!B10</f>
        <v>433278.37</v>
      </c>
      <c r="VE15" s="801">
        <f>'Прочая  субсидия_БП'!C10</f>
        <v>0</v>
      </c>
      <c r="VF15" s="1255">
        <f>'Прочая  субсидия_БП'!D10</f>
        <v>-39140.359999999986</v>
      </c>
      <c r="VG15" s="1248">
        <f>'Прочая  субсидия_БП'!E10</f>
        <v>0</v>
      </c>
      <c r="VH15" s="1249">
        <f>'Прочая  субсидия_БП'!F10</f>
        <v>472418.73</v>
      </c>
      <c r="VI15" s="1255">
        <f>'Прочая  субсидия_БП'!G10</f>
        <v>0</v>
      </c>
      <c r="VJ15" s="801">
        <f>SUM(VK15:VL15)</f>
        <v>274228085.26999992</v>
      </c>
      <c r="VK15" s="770">
        <f>'Проверочная  таблица'!WM15+'Проверочная  таблица'!VP15+'Проверочная  таблица'!VR15+WG15</f>
        <v>267053820.42999995</v>
      </c>
      <c r="VL15" s="795">
        <f>'Проверочная  таблица'!WN15+'Проверочная  таблица'!VV15+'Проверочная  таблица'!WB15+'Проверочная  таблица'!VX15+'Проверочная  таблица'!VZ15+WD15+WH15+VT15</f>
        <v>7174264.8399999999</v>
      </c>
      <c r="VM15" s="957">
        <f>SUM(VN15:VO15)</f>
        <v>147564936.13999999</v>
      </c>
      <c r="VN15" s="770">
        <f>'Проверочная  таблица'!WP15+'Проверочная  таблица'!VQ15+'Проверочная  таблица'!VS15+WJ15</f>
        <v>144395562</v>
      </c>
      <c r="VO15" s="795">
        <f>'Проверочная  таблица'!WQ15+'Проверочная  таблица'!VW15+'Проверочная  таблица'!WC15+'Проверочная  таблица'!VY15+'Проверочная  таблица'!WA15+WE15+WK15+VU15</f>
        <v>3169374.14</v>
      </c>
      <c r="VP15" s="1253">
        <f>'Субвенция  на  полномочия'!B10</f>
        <v>255261840.56999996</v>
      </c>
      <c r="VQ15" s="1234">
        <f>'Субвенция  на  полномочия'!C10</f>
        <v>137893562</v>
      </c>
      <c r="VR15" s="790">
        <f>[1]Субвенция_факт!M17*1000</f>
        <v>8414872</v>
      </c>
      <c r="VS15" s="796">
        <v>4700000</v>
      </c>
      <c r="VT15" s="790">
        <f>[1]Субвенция_факт!AE17*1000</f>
        <v>2029300</v>
      </c>
      <c r="VU15" s="796">
        <f>ВУС!E8</f>
        <v>270776.5</v>
      </c>
      <c r="VV15" s="790">
        <f>[1]Субвенция_факт!AF17*1000</f>
        <v>0</v>
      </c>
      <c r="VW15" s="796"/>
      <c r="VX15" s="1256">
        <f>[1]Субвенция_факт!AG17*1000</f>
        <v>0</v>
      </c>
      <c r="VY15" s="797"/>
      <c r="VZ15" s="792">
        <f>[1]Субвенция_факт!E17*1000</f>
        <v>0</v>
      </c>
      <c r="WA15" s="797"/>
      <c r="WB15" s="792">
        <f>[1]Субвенция_факт!F17*1000</f>
        <v>0</v>
      </c>
      <c r="WC15" s="797"/>
      <c r="WD15" s="791">
        <f>[1]Субвенция_факт!G17*1000</f>
        <v>0</v>
      </c>
      <c r="WE15" s="796"/>
      <c r="WF15" s="801">
        <f>SUM(WG15:WH15)</f>
        <v>5844547.0700000003</v>
      </c>
      <c r="WG15" s="766">
        <f>[1]Субвенция_факт!P17*1000</f>
        <v>1519582.2300000004</v>
      </c>
      <c r="WH15" s="767">
        <f>[1]Субвенция_факт!Q17*1000</f>
        <v>4324964.84</v>
      </c>
      <c r="WI15" s="957">
        <f>SUM(WJ15:WK15)</f>
        <v>3300000</v>
      </c>
      <c r="WJ15" s="770">
        <v>858000</v>
      </c>
      <c r="WK15" s="798">
        <v>2442000</v>
      </c>
      <c r="WL15" s="957">
        <f>SUM(WM15:WN15)</f>
        <v>2677525.63</v>
      </c>
      <c r="WM15" s="799">
        <f>[1]Субвенция_факт!X17*1000</f>
        <v>1857525.6300000001</v>
      </c>
      <c r="WN15" s="800">
        <f>[1]Субвенция_факт!W17*1000</f>
        <v>820000</v>
      </c>
      <c r="WO15" s="957">
        <f>SUM(WP15:WQ15)</f>
        <v>1400597.6400000001</v>
      </c>
      <c r="WP15" s="770">
        <v>944000</v>
      </c>
      <c r="WQ15" s="798">
        <v>456597.64</v>
      </c>
      <c r="WR15" s="957">
        <f>WT15+WZ15+XF15+XL15+XP15+XX15+YT15</f>
        <v>54913977.760000005</v>
      </c>
      <c r="WS15" s="957">
        <f>WW15+XC15+XI15+XN15+XR15+YI15+YZ15</f>
        <v>12261828.99</v>
      </c>
      <c r="WT15" s="1253">
        <f>SUM(WU15:WV15)</f>
        <v>0</v>
      </c>
      <c r="WU15" s="799">
        <f>'[1]Иные межбюджетные трансферты'!AM18</f>
        <v>0</v>
      </c>
      <c r="WV15" s="800">
        <f>'[1]Иные межбюджетные трансферты'!AO18</f>
        <v>0</v>
      </c>
      <c r="WW15" s="1253">
        <f>SUM(WX15:WY15)</f>
        <v>0</v>
      </c>
      <c r="WX15" s="799"/>
      <c r="WY15" s="800"/>
      <c r="WZ15" s="957">
        <f>SUM(XA15:XB15)</f>
        <v>2156953.11</v>
      </c>
      <c r="XA15" s="799">
        <f>'[1]Иные межбюджетные трансферты'!AI18</f>
        <v>107847.66</v>
      </c>
      <c r="XB15" s="800">
        <f>'[1]Иные межбюджетные трансферты'!AK18</f>
        <v>2049105.45</v>
      </c>
      <c r="XC15" s="957">
        <f>SUM(XD15:XE15)</f>
        <v>1258231.5900000001</v>
      </c>
      <c r="XD15" s="799">
        <v>62911.59</v>
      </c>
      <c r="XE15" s="800">
        <v>1195320</v>
      </c>
      <c r="XF15" s="957">
        <f>SUM(XG15:XH15)</f>
        <v>9704906</v>
      </c>
      <c r="XG15" s="799">
        <f>'[1]Иные межбюджетные трансферты'!I18</f>
        <v>0</v>
      </c>
      <c r="XH15" s="800">
        <f>'[1]Иные межбюджетные трансферты'!K18</f>
        <v>9704906</v>
      </c>
      <c r="XI15" s="957">
        <f>SUM(XJ15:XK15)</f>
        <v>9105110</v>
      </c>
      <c r="XJ15" s="786"/>
      <c r="XK15" s="800">
        <v>9105110</v>
      </c>
      <c r="XL15" s="957">
        <f>SUM(XM15:XM15)</f>
        <v>0</v>
      </c>
      <c r="XM15" s="789"/>
      <c r="XN15" s="957">
        <f>SUM(XO15:XO15)</f>
        <v>0</v>
      </c>
      <c r="XO15" s="789"/>
      <c r="XP15" s="801">
        <f>SUM(XQ15:XQ15)</f>
        <v>0</v>
      </c>
      <c r="XQ15" s="766">
        <f>'[1]Иные межбюджетные трансферты'!M18</f>
        <v>0</v>
      </c>
      <c r="XR15" s="957">
        <f>SUM(XS15:XS15)</f>
        <v>0</v>
      </c>
      <c r="XS15" s="770"/>
      <c r="XT15" s="1252">
        <f>XP15-XV15</f>
        <v>0</v>
      </c>
      <c r="XU15" s="783">
        <f>XR15-XW15</f>
        <v>0</v>
      </c>
      <c r="XV15" s="1252">
        <f>XP15</f>
        <v>0</v>
      </c>
      <c r="XW15" s="783">
        <f>XR15</f>
        <v>0</v>
      </c>
      <c r="XX15" s="957">
        <f>SUM(XY15:YH15)</f>
        <v>43052118.650000006</v>
      </c>
      <c r="XY15" s="787">
        <f>'[1]Иные межбюджетные трансферты'!E18</f>
        <v>0</v>
      </c>
      <c r="XZ15" s="799">
        <f>'[1]Иные межбюджетные трансферты'!G18</f>
        <v>27174991.600000001</v>
      </c>
      <c r="YA15" s="786">
        <f>'[1]Иные межбюджетные трансферты'!Q18</f>
        <v>2001336.3</v>
      </c>
      <c r="YB15" s="787">
        <f>'[1]Иные межбюджетные трансферты'!W18</f>
        <v>0</v>
      </c>
      <c r="YC15" s="786">
        <f>'[1]Иные межбюджетные трансферты'!Y18</f>
        <v>0</v>
      </c>
      <c r="YD15" s="1116">
        <f>'[1]Иные межбюджетные трансферты'!AE18</f>
        <v>10661926</v>
      </c>
      <c r="YE15" s="786">
        <f>'[1]Иные межбюджетные трансферты'!AQ18</f>
        <v>0</v>
      </c>
      <c r="YF15" s="766">
        <f>'[1]Иные межбюджетные трансферты'!AW18</f>
        <v>0</v>
      </c>
      <c r="YG15" s="786">
        <f>'[1]Иные межбюджетные трансферты'!AY18</f>
        <v>0</v>
      </c>
      <c r="YH15" s="1116">
        <f>'[1]Иные межбюджетные трансферты'!BA18</f>
        <v>3213864.75</v>
      </c>
      <c r="YI15" s="957">
        <f>SUM(YJ15:YS15)</f>
        <v>1898487.4</v>
      </c>
      <c r="YJ15" s="786"/>
      <c r="YK15" s="786"/>
      <c r="YL15" s="755"/>
      <c r="YM15" s="786"/>
      <c r="YN15" s="751">
        <f>YC15</f>
        <v>0</v>
      </c>
      <c r="YO15" s="751">
        <v>0</v>
      </c>
      <c r="YP15" s="751"/>
      <c r="YQ15" s="751"/>
      <c r="YR15" s="751"/>
      <c r="YS15" s="751">
        <v>1898487.4</v>
      </c>
      <c r="YT15" s="957">
        <f>SUM(YU15:YY15)</f>
        <v>0</v>
      </c>
      <c r="YU15" s="799">
        <f>'[1]Иные межбюджетные трансферты'!S18</f>
        <v>0</v>
      </c>
      <c r="YV15" s="786">
        <f>'[1]Иные межбюджетные трансферты'!AA18</f>
        <v>0</v>
      </c>
      <c r="YW15" s="1116">
        <f>'[1]Иные межбюджетные трансферты'!AG18</f>
        <v>0</v>
      </c>
      <c r="YX15" s="787">
        <f>'[1]Иные межбюджетные трансферты'!AS18</f>
        <v>0</v>
      </c>
      <c r="YY15" s="751">
        <f>'[1]Иные межбюджетные трансферты'!BC18</f>
        <v>0</v>
      </c>
      <c r="YZ15" s="957">
        <f>SUM(ZA15:ZE15)</f>
        <v>0</v>
      </c>
      <c r="ZA15" s="769"/>
      <c r="ZB15" s="769">
        <f>YV15</f>
        <v>0</v>
      </c>
      <c r="ZC15" s="769"/>
      <c r="ZD15" s="751"/>
      <c r="ZE15" s="751"/>
      <c r="ZF15" s="783">
        <f>SUM(ZG15:ZK15)</f>
        <v>0</v>
      </c>
      <c r="ZG15" s="763">
        <f>'Проверочная  таблица'!YU15-ZS15</f>
        <v>0</v>
      </c>
      <c r="ZH15" s="763">
        <f>'Проверочная  таблица'!YV15-ZT15</f>
        <v>0</v>
      </c>
      <c r="ZI15" s="763">
        <f>'Проверочная  таблица'!YW15-ZU15</f>
        <v>0</v>
      </c>
      <c r="ZJ15" s="763">
        <f>'Проверочная  таблица'!YX15-ZV15</f>
        <v>0</v>
      </c>
      <c r="ZK15" s="763">
        <f>'Проверочная  таблица'!YY15-ZW15</f>
        <v>0</v>
      </c>
      <c r="ZL15" s="783">
        <f>SUM(ZM15:ZQ15)</f>
        <v>0</v>
      </c>
      <c r="ZM15" s="763">
        <f>'Проверочная  таблица'!ZA15-ZY15</f>
        <v>0</v>
      </c>
      <c r="ZN15" s="763">
        <f>'Проверочная  таблица'!ZB15-ZZ15</f>
        <v>0</v>
      </c>
      <c r="ZO15" s="763">
        <f>'Проверочная  таблица'!ZC15-AAA15</f>
        <v>0</v>
      </c>
      <c r="ZP15" s="763">
        <f>'Проверочная  таблица'!ZD15-AAB15</f>
        <v>0</v>
      </c>
      <c r="ZQ15" s="763">
        <f>'Проверочная  таблица'!ZE15-AAC15</f>
        <v>0</v>
      </c>
      <c r="ZR15" s="783">
        <f>SUM(ZS15:ZW15)</f>
        <v>0</v>
      </c>
      <c r="ZS15" s="799">
        <f>'[1]Иные межбюджетные трансферты'!U18</f>
        <v>0</v>
      </c>
      <c r="ZT15" s="786">
        <f>'[1]Иные межбюджетные трансферты'!AC18</f>
        <v>0</v>
      </c>
      <c r="ZU15" s="787"/>
      <c r="ZV15" s="799">
        <f>'[1]Иные межбюджетные трансферты'!AU18</f>
        <v>0</v>
      </c>
      <c r="ZW15" s="751"/>
      <c r="ZX15" s="783">
        <f>SUM(ZY15:AAC15)</f>
        <v>0</v>
      </c>
      <c r="ZY15" s="769"/>
      <c r="ZZ15" s="769">
        <f>ZB15</f>
        <v>0</v>
      </c>
      <c r="AAA15" s="769"/>
      <c r="AAB15" s="751"/>
      <c r="AAC15" s="751"/>
      <c r="AAD15" s="957">
        <f>AAF15+'Проверочная  таблица'!AAN15+AAJ15+'Проверочная  таблица'!AAR15+AAL15+'Проверочная  таблица'!AAT15</f>
        <v>0</v>
      </c>
      <c r="AAE15" s="957">
        <f>AAG15+'Проверочная  таблица'!AAO15+AAK15+'Проверочная  таблица'!AAS15+AAM15+'Проверочная  таблица'!AAU15</f>
        <v>0</v>
      </c>
      <c r="AAF15" s="801"/>
      <c r="AAG15" s="801"/>
      <c r="AAH15" s="801"/>
      <c r="AAI15" s="801"/>
      <c r="AAJ15" s="1235">
        <f t="shared" si="203"/>
        <v>0</v>
      </c>
      <c r="AAK15" s="783">
        <f t="shared" si="203"/>
        <v>0</v>
      </c>
      <c r="AAL15" s="802"/>
      <c r="AAM15" s="783"/>
      <c r="AAN15" s="801"/>
      <c r="AAO15" s="801"/>
      <c r="AAP15" s="801"/>
      <c r="AAQ15" s="801"/>
      <c r="AAR15" s="1235">
        <f t="shared" si="204"/>
        <v>0</v>
      </c>
      <c r="AAS15" s="783">
        <f t="shared" si="204"/>
        <v>0</v>
      </c>
      <c r="AAT15" s="783"/>
      <c r="AAU15" s="783"/>
      <c r="AAV15" s="1246">
        <f>'Проверочная  таблица'!AAN15+'Проверочная  таблица'!AAP15</f>
        <v>0</v>
      </c>
      <c r="AAW15" s="1246">
        <f>'Проверочная  таблица'!AAO15+'Проверочная  таблица'!AAQ15</f>
        <v>0</v>
      </c>
    </row>
    <row r="16" spans="1:725" ht="24" customHeight="1" x14ac:dyDescent="0.25">
      <c r="A16" s="808" t="s">
        <v>1304</v>
      </c>
      <c r="B16" s="793">
        <f>D16+AN16+'Проверочная  таблица'!VJ16+'Проверочная  таблица'!WR16</f>
        <v>581863985.32999992</v>
      </c>
      <c r="C16" s="767">
        <f>E16+'Проверочная  таблица'!VM16+AO16+'Проверочная  таблица'!WS16</f>
        <v>220571961.53000003</v>
      </c>
      <c r="D16" s="1234">
        <f t="shared" si="177"/>
        <v>84197006</v>
      </c>
      <c r="E16" s="801">
        <f t="shared" si="1"/>
        <v>42852000</v>
      </c>
      <c r="F16" s="1238">
        <f>'[1]Дотация  из  ОБ_факт'!M21</f>
        <v>82697006</v>
      </c>
      <c r="G16" s="1247">
        <v>41352000</v>
      </c>
      <c r="H16" s="1238">
        <f>'[1]Дотация  из  ОБ_факт'!G21</f>
        <v>0</v>
      </c>
      <c r="I16" s="1247"/>
      <c r="J16" s="1248">
        <f t="shared" si="178"/>
        <v>0</v>
      </c>
      <c r="K16" s="1249">
        <f t="shared" si="178"/>
        <v>0</v>
      </c>
      <c r="L16" s="1248">
        <f>'[1]Дотация  из  ОБ_факт'!K21</f>
        <v>0</v>
      </c>
      <c r="M16" s="785"/>
      <c r="N16" s="1238">
        <f>'[1]Дотация  из  ОБ_факт'!Q21</f>
        <v>0</v>
      </c>
      <c r="O16" s="1247"/>
      <c r="P16" s="1238">
        <f>'[1]Дотация  из  ОБ_факт'!S21</f>
        <v>0</v>
      </c>
      <c r="Q16" s="1247"/>
      <c r="R16" s="1248">
        <f t="shared" si="179"/>
        <v>0</v>
      </c>
      <c r="S16" s="1249">
        <f t="shared" si="179"/>
        <v>0</v>
      </c>
      <c r="T16" s="1248">
        <f>'[1]Дотация  из  ОБ_факт'!W21</f>
        <v>0</v>
      </c>
      <c r="U16" s="785"/>
      <c r="V16" s="790">
        <f>SUM(W16:Y16)</f>
        <v>1500000</v>
      </c>
      <c r="W16" s="1250">
        <f>'[1]Дотация  из  ОБ_факт'!$AA$21</f>
        <v>300000</v>
      </c>
      <c r="X16" s="1251">
        <f>'[1]Дотация  из  ОБ_факт'!$AC$21</f>
        <v>1200000</v>
      </c>
      <c r="Y16" s="1251">
        <f>'[1]Дотация  из  ОБ_факт'!$AG$21</f>
        <v>0</v>
      </c>
      <c r="Z16" s="791">
        <f>SUM(AA16:AC16)</f>
        <v>1500000</v>
      </c>
      <c r="AA16" s="751">
        <f t="shared" si="180"/>
        <v>300000</v>
      </c>
      <c r="AB16" s="751">
        <f t="shared" si="180"/>
        <v>1200000</v>
      </c>
      <c r="AC16" s="786"/>
      <c r="AD16" s="790">
        <f>SUM(AE16:AF16)</f>
        <v>0</v>
      </c>
      <c r="AE16" s="1250">
        <f>'[1]Дотация  из  ОБ_факт'!$Y$21</f>
        <v>0</v>
      </c>
      <c r="AF16" s="1251">
        <f>'[1]Дотация  из  ОБ_факт'!$AE$21</f>
        <v>0</v>
      </c>
      <c r="AG16" s="790">
        <f>SUM(AH16:AI16)</f>
        <v>0</v>
      </c>
      <c r="AH16" s="787"/>
      <c r="AI16" s="786"/>
      <c r="AJ16" s="1248">
        <f t="shared" si="8"/>
        <v>0</v>
      </c>
      <c r="AK16" s="1249">
        <f t="shared" si="181"/>
        <v>0</v>
      </c>
      <c r="AL16" s="1248">
        <f>'[1]Дотация  из  ОБ_факт'!AE21</f>
        <v>0</v>
      </c>
      <c r="AM16" s="788"/>
      <c r="AN16" s="919">
        <f>'Проверочная  таблица'!VB16+'Проверочная  таблица'!VD16+BT16+BV16+CH16+CJ16+BH16+BL16+'Проверочная  таблица'!NB16+'Проверочная  таблица'!NR16+'Проверочная  таблица'!EB16+'Проверочная  таблица'!OJ16+DT16+'Проверочная  таблица'!JR16+'Проверочная  таблица'!JX16+'Проверочная  таблица'!OR16+'Проверочная  таблица'!OZ16+JL16+AP16+AV16+FB16+FH16+CV16+SX16+EH16+TL16+QH16+EN16+EV16+LV16+MD16+SR16+GV16+SD16+RF16+KP16+KZ16+RL16+SJ16+CP16+QZ16+HL16+GF16+HR16+HX16+FZ16+DJ16+PX16+CB16+IP16+JF16+HD16+GL16+IV16</f>
        <v>148482598.13000003</v>
      </c>
      <c r="AO16" s="920">
        <f>'Проверочная  таблица'!VC16+'Проверочная  таблица'!VE16+BU16+BW16+CI16+CK16+BJ16+BN16+'Проверочная  таблица'!NJ16+'Проверочная  таблица'!NU16+'Проверочная  таблица'!EE16+'Проверочная  таблица'!ON16+DX16+'Проверочная  таблица'!JU16+'Проверочная  таблица'!KA16+'Проверочная  таблица'!OV16+'Проверочная  таблица'!PD16+JO16+AS16+AX16+FE16+FK16+DC16+TE16+EK16+TS16+QK16+ER16+EY16+LZ16+MH16+SU16+GZ16+SG16+RI16+KU16+LE16+RO16+SN16+CS16+RC16+HO16+GI16+HU16+IA16+GC16+DM16+QC16+CE16+IS16+JI16+HF16+GO16+IY16</f>
        <v>18765175.490000002</v>
      </c>
      <c r="AP16" s="957">
        <f>SUM(AQ16:AR16)</f>
        <v>32377641.370000001</v>
      </c>
      <c r="AQ16" s="789">
        <f>[1]Субсидия_факт!HV23</f>
        <v>32377641.370000001</v>
      </c>
      <c r="AR16" s="770">
        <f>[1]Субсидия_факт!MR23</f>
        <v>0</v>
      </c>
      <c r="AS16" s="957">
        <f>SUM(AT16:AU16)</f>
        <v>6603000</v>
      </c>
      <c r="AT16" s="770">
        <v>6603000</v>
      </c>
      <c r="AU16" s="789"/>
      <c r="AV16" s="910">
        <f>SUM(AW16:AW16)</f>
        <v>0</v>
      </c>
      <c r="AW16" s="770">
        <f>[1]Субсидия_факт!MV23</f>
        <v>0</v>
      </c>
      <c r="AX16" s="1224">
        <f>SUM(AY16:AY16)</f>
        <v>0</v>
      </c>
      <c r="AY16" s="770"/>
      <c r="AZ16" s="1225">
        <f>SUM(BA16:BA16)</f>
        <v>0</v>
      </c>
      <c r="BA16" s="770">
        <f>AW16-BE16</f>
        <v>0</v>
      </c>
      <c r="BB16" s="783">
        <f>SUM(BC16:BC16)</f>
        <v>0</v>
      </c>
      <c r="BC16" s="789">
        <f>AY16-BG16</f>
        <v>0</v>
      </c>
      <c r="BD16" s="782">
        <f>SUM(BE16:BE16)</f>
        <v>0</v>
      </c>
      <c r="BE16" s="770">
        <f>[1]Субсидия_факт!MX23</f>
        <v>0</v>
      </c>
      <c r="BF16" s="802">
        <f>SUM(BG16:BG16)</f>
        <v>0</v>
      </c>
      <c r="BG16" s="770"/>
      <c r="BH16" s="801">
        <f>SUM(BI16:BI16)</f>
        <v>0</v>
      </c>
      <c r="BI16" s="770">
        <f>[1]Субсидия_факт!KZ23</f>
        <v>0</v>
      </c>
      <c r="BJ16" s="957">
        <f>SUM(BK16:BK16)</f>
        <v>0</v>
      </c>
      <c r="BK16" s="770"/>
      <c r="BL16" s="801">
        <f>SUM(BM16:BM16)</f>
        <v>0</v>
      </c>
      <c r="BM16" s="770">
        <f>[1]Субсидия_факт!LB23</f>
        <v>0</v>
      </c>
      <c r="BN16" s="957">
        <f>SUM(BO16:BO16)</f>
        <v>0</v>
      </c>
      <c r="BO16" s="770"/>
      <c r="BP16" s="936">
        <f>BL16-BR16</f>
        <v>0</v>
      </c>
      <c r="BQ16" s="923">
        <f>BN16-BS16</f>
        <v>0</v>
      </c>
      <c r="BR16" s="934">
        <f>BL16</f>
        <v>0</v>
      </c>
      <c r="BS16" s="936">
        <f>BN16</f>
        <v>0</v>
      </c>
      <c r="BT16" s="801">
        <f>[1]Субсидия_факт!GV23</f>
        <v>0</v>
      </c>
      <c r="BU16" s="790"/>
      <c r="BV16" s="1253">
        <f>[1]Субсидия_факт!GX23</f>
        <v>0</v>
      </c>
      <c r="BW16" s="791"/>
      <c r="BX16" s="1252">
        <f t="shared" si="182"/>
        <v>0</v>
      </c>
      <c r="BY16" s="1235">
        <f t="shared" si="182"/>
        <v>0</v>
      </c>
      <c r="BZ16" s="783">
        <f>[1]Субсидия_факт!GZ23</f>
        <v>0</v>
      </c>
      <c r="CA16" s="785"/>
      <c r="CB16" s="801">
        <f>SUM(CC16:CD16)</f>
        <v>32377641.370000001</v>
      </c>
      <c r="CC16" s="766">
        <f>[1]Субсидия_факт!HL23</f>
        <v>32377641.370000001</v>
      </c>
      <c r="CD16" s="770">
        <f>[1]Субсидия_факт!HN23</f>
        <v>0</v>
      </c>
      <c r="CE16" s="957">
        <f>SUM(CF16:CG16)</f>
        <v>0</v>
      </c>
      <c r="CF16" s="770"/>
      <c r="CG16" s="770"/>
      <c r="CH16" s="957">
        <f>[1]Субсидия_факт!HB23</f>
        <v>0</v>
      </c>
      <c r="CI16" s="792"/>
      <c r="CJ16" s="957">
        <f>[1]Субсидия_факт!HD23</f>
        <v>0</v>
      </c>
      <c r="CK16" s="805"/>
      <c r="CL16" s="1226">
        <f t="shared" si="183"/>
        <v>0</v>
      </c>
      <c r="CM16" s="782">
        <f t="shared" si="183"/>
        <v>0</v>
      </c>
      <c r="CN16" s="1225">
        <f>[1]Субсидия_факт!HF23</f>
        <v>0</v>
      </c>
      <c r="CO16" s="753"/>
      <c r="CP16" s="801">
        <f>SUM(CQ16:CR16)</f>
        <v>0</v>
      </c>
      <c r="CQ16" s="766">
        <f>[1]Субсидия_факт!HP23</f>
        <v>0</v>
      </c>
      <c r="CR16" s="770">
        <f>[1]Субсидия_факт!HR23</f>
        <v>0</v>
      </c>
      <c r="CS16" s="957">
        <f>SUM(CT16:CU16)</f>
        <v>0</v>
      </c>
      <c r="CT16" s="770"/>
      <c r="CU16" s="770"/>
      <c r="CV16" s="910">
        <f>SUM(CW16:DB16)</f>
        <v>0</v>
      </c>
      <c r="CW16" s="763">
        <f>[1]Субсидия_факт!LR23</f>
        <v>0</v>
      </c>
      <c r="CX16" s="762">
        <f>[1]Субсидия_факт!LT23</f>
        <v>0</v>
      </c>
      <c r="CY16" s="754">
        <f>[1]Субсидия_факт!LV23</f>
        <v>0</v>
      </c>
      <c r="CZ16" s="762">
        <f>[1]Субсидия_факт!MB23</f>
        <v>0</v>
      </c>
      <c r="DA16" s="754">
        <f>[1]Субсидия_факт!MH23</f>
        <v>0</v>
      </c>
      <c r="DB16" s="762">
        <f>[1]Субсидия_факт!MJ23</f>
        <v>0</v>
      </c>
      <c r="DC16" s="910">
        <f>SUM(DD16:DI16)</f>
        <v>0</v>
      </c>
      <c r="DD16" s="755"/>
      <c r="DE16" s="762"/>
      <c r="DF16" s="754"/>
      <c r="DG16" s="762"/>
      <c r="DH16" s="754"/>
      <c r="DI16" s="762"/>
      <c r="DJ16" s="920">
        <f>SUM(DK16:DL16)</f>
        <v>0</v>
      </c>
      <c r="DK16" s="763">
        <f>[1]Субсидия_факт!LX23</f>
        <v>0</v>
      </c>
      <c r="DL16" s="762">
        <f>[1]Субсидия_факт!MD23</f>
        <v>0</v>
      </c>
      <c r="DM16" s="910">
        <f>SUM(DN16:DO16)</f>
        <v>0</v>
      </c>
      <c r="DN16" s="763"/>
      <c r="DO16" s="764"/>
      <c r="DP16" s="1226">
        <f>DJ16-DR16</f>
        <v>0</v>
      </c>
      <c r="DQ16" s="782">
        <f>DM16-DS16</f>
        <v>0</v>
      </c>
      <c r="DR16" s="1225">
        <f>DJ16</f>
        <v>0</v>
      </c>
      <c r="DS16" s="753">
        <f>DM16</f>
        <v>0</v>
      </c>
      <c r="DT16" s="957">
        <f>SUM(DU16:DW16)</f>
        <v>0</v>
      </c>
      <c r="DU16" s="789">
        <f>[1]Субсидия_факт!R23</f>
        <v>0</v>
      </c>
      <c r="DV16" s="766">
        <f>[1]Субсидия_факт!T23</f>
        <v>0</v>
      </c>
      <c r="DW16" s="770">
        <f>[1]Субсидия_факт!V23</f>
        <v>0</v>
      </c>
      <c r="DX16" s="957">
        <f>SUM(DY16:EA16)</f>
        <v>0</v>
      </c>
      <c r="DY16" s="770"/>
      <c r="DZ16" s="770"/>
      <c r="EA16" s="770"/>
      <c r="EB16" s="801">
        <f>SUM(EC16:ED16)</f>
        <v>0</v>
      </c>
      <c r="EC16" s="766">
        <f>[1]Субсидия_факт!AX23</f>
        <v>0</v>
      </c>
      <c r="ED16" s="767">
        <f>[1]Субсидия_факт!AZ23</f>
        <v>0</v>
      </c>
      <c r="EE16" s="957">
        <f>SUM(EF16:EG16)</f>
        <v>0</v>
      </c>
      <c r="EF16" s="789"/>
      <c r="EG16" s="793"/>
      <c r="EH16" s="801">
        <f>SUM(EI16:EJ16)</f>
        <v>0</v>
      </c>
      <c r="EI16" s="766">
        <f>[1]Субсидия_факт!X23</f>
        <v>0</v>
      </c>
      <c r="EJ16" s="767">
        <f>[1]Субсидия_факт!Z23</f>
        <v>0</v>
      </c>
      <c r="EK16" s="957">
        <f>SUM(EL16:EM16)</f>
        <v>0</v>
      </c>
      <c r="EL16" s="766"/>
      <c r="EM16" s="767"/>
      <c r="EN16" s="920">
        <f>SUM(EO16:EQ16)</f>
        <v>0</v>
      </c>
      <c r="EO16" s="763">
        <f>[1]Субсидия_факт!AP23</f>
        <v>0</v>
      </c>
      <c r="EP16" s="763">
        <f>[1]Субсидия_факт!AL23</f>
        <v>0</v>
      </c>
      <c r="EQ16" s="764">
        <f>[1]Субсидия_факт!AN23</f>
        <v>0</v>
      </c>
      <c r="ER16" s="920">
        <f>SUM(ES16:EU16)</f>
        <v>0</v>
      </c>
      <c r="ES16" s="763"/>
      <c r="ET16" s="763"/>
      <c r="EU16" s="764"/>
      <c r="EV16" s="920">
        <f>SUM(EW16:EX16)</f>
        <v>0</v>
      </c>
      <c r="EW16" s="763">
        <f>[1]Субсидия_факт!HH23</f>
        <v>0</v>
      </c>
      <c r="EX16" s="762">
        <f>[1]Субсидия_факт!HJ23</f>
        <v>0</v>
      </c>
      <c r="EY16" s="910">
        <f>SUM(EZ16:FA16)</f>
        <v>0</v>
      </c>
      <c r="EZ16" s="763"/>
      <c r="FA16" s="762"/>
      <c r="FB16" s="920">
        <f>SUM(FC16:FD16)</f>
        <v>0</v>
      </c>
      <c r="FC16" s="766">
        <f>[1]Субсидия_факт!PK23</f>
        <v>0</v>
      </c>
      <c r="FD16" s="767">
        <f>[1]Субсидия_факт!PQ23</f>
        <v>0</v>
      </c>
      <c r="FE16" s="910">
        <f>SUM(FF16:FG16)</f>
        <v>0</v>
      </c>
      <c r="FF16" s="763"/>
      <c r="FG16" s="764"/>
      <c r="FH16" s="920">
        <f>SUM(FI16:FJ16)</f>
        <v>0</v>
      </c>
      <c r="FI16" s="763">
        <f>[1]Субсидия_факт!PM23</f>
        <v>0</v>
      </c>
      <c r="FJ16" s="762">
        <f>[1]Субсидия_факт!PS23</f>
        <v>0</v>
      </c>
      <c r="FK16" s="910">
        <f>SUM(FL16:FM16)</f>
        <v>0</v>
      </c>
      <c r="FL16" s="763"/>
      <c r="FM16" s="764"/>
      <c r="FN16" s="1233">
        <f>SUM(FO16:FP16)</f>
        <v>0</v>
      </c>
      <c r="FO16" s="763">
        <f t="shared" si="184"/>
        <v>0</v>
      </c>
      <c r="FP16" s="762">
        <f t="shared" si="184"/>
        <v>0</v>
      </c>
      <c r="FQ16" s="782">
        <f>SUM(FR16:FS16)</f>
        <v>0</v>
      </c>
      <c r="FR16" s="763">
        <f t="shared" si="185"/>
        <v>0</v>
      </c>
      <c r="FS16" s="762">
        <f t="shared" si="185"/>
        <v>0</v>
      </c>
      <c r="FT16" s="1233">
        <f>SUM(FU16:FV16)</f>
        <v>0</v>
      </c>
      <c r="FU16" s="763">
        <f>[1]Субсидия_факт!PO23</f>
        <v>0</v>
      </c>
      <c r="FV16" s="762">
        <f>[1]Субсидия_факт!PU23</f>
        <v>0</v>
      </c>
      <c r="FW16" s="782">
        <f>SUM(FX16:FY16)</f>
        <v>0</v>
      </c>
      <c r="FX16" s="763"/>
      <c r="FY16" s="764"/>
      <c r="FZ16" s="920">
        <f t="shared" si="55"/>
        <v>0</v>
      </c>
      <c r="GA16" s="766">
        <f>[1]Субсидия_факт!EP23</f>
        <v>0</v>
      </c>
      <c r="GB16" s="767">
        <f>[1]Субсидия_факт!ER23</f>
        <v>0</v>
      </c>
      <c r="GC16" s="1234">
        <f>SUM(GD16:GE16)</f>
        <v>0</v>
      </c>
      <c r="GD16" s="766"/>
      <c r="GE16" s="767"/>
      <c r="GF16" s="801">
        <f>SUM(GG16:GH16)</f>
        <v>0</v>
      </c>
      <c r="GG16" s="766">
        <f>[1]Субсидия_факт!JN23</f>
        <v>0</v>
      </c>
      <c r="GH16" s="767">
        <f>[1]Субсидия_факт!JP23</f>
        <v>0</v>
      </c>
      <c r="GI16" s="801">
        <f>SUM(GJ16:GK16)</f>
        <v>0</v>
      </c>
      <c r="GJ16" s="766"/>
      <c r="GK16" s="767"/>
      <c r="GL16" s="783">
        <f>SUM(GM16:GN16)</f>
        <v>0</v>
      </c>
      <c r="GM16" s="763">
        <f>[1]Субсидия_факт!JR23</f>
        <v>0</v>
      </c>
      <c r="GN16" s="764">
        <f>[1]Субсидия_факт!JV23</f>
        <v>0</v>
      </c>
      <c r="GO16" s="1235">
        <f>SUM(GP16:GQ16)</f>
        <v>0</v>
      </c>
      <c r="GP16" s="766"/>
      <c r="GQ16" s="793"/>
      <c r="GR16" s="1235">
        <f>GL16-GT16</f>
        <v>0</v>
      </c>
      <c r="GS16" s="783">
        <f>GO16-GU16</f>
        <v>0</v>
      </c>
      <c r="GT16" s="1252">
        <f>GL16</f>
        <v>0</v>
      </c>
      <c r="GU16" s="783">
        <f>GO16</f>
        <v>0</v>
      </c>
      <c r="GV16" s="1234">
        <f>SUM(GW16:GY16)</f>
        <v>0</v>
      </c>
      <c r="GW16" s="766">
        <f>[1]Субсидия_факт!KL23</f>
        <v>0</v>
      </c>
      <c r="GX16" s="767">
        <f>[1]Субсидия_факт!KN23</f>
        <v>0</v>
      </c>
      <c r="GY16" s="766">
        <f>[1]Субсидия_факт!KP23</f>
        <v>0</v>
      </c>
      <c r="GZ16" s="801">
        <f>SUM(HA16:HC16)</f>
        <v>0</v>
      </c>
      <c r="HA16" s="766"/>
      <c r="HB16" s="767"/>
      <c r="HC16" s="770"/>
      <c r="HD16" s="1235">
        <f>HE16</f>
        <v>0</v>
      </c>
      <c r="HE16" s="766">
        <f>[1]Субсидия_факт!KR23</f>
        <v>0</v>
      </c>
      <c r="HF16" s="1235">
        <f>HG16</f>
        <v>0</v>
      </c>
      <c r="HG16" s="770"/>
      <c r="HH16" s="1235">
        <f>HD16-HJ16</f>
        <v>0</v>
      </c>
      <c r="HI16" s="1235">
        <f>HF16-HK16</f>
        <v>0</v>
      </c>
      <c r="HJ16" s="1235">
        <f>HD16</f>
        <v>0</v>
      </c>
      <c r="HK16" s="1235">
        <f>HF16</f>
        <v>0</v>
      </c>
      <c r="HL16" s="957">
        <f>SUM(HM16:HN16)</f>
        <v>0</v>
      </c>
      <c r="HM16" s="766">
        <f>[1]Субсидия_факт!KV23</f>
        <v>0</v>
      </c>
      <c r="HN16" s="767">
        <f>[1]Субсидия_факт!KX23</f>
        <v>0</v>
      </c>
      <c r="HO16" s="957">
        <f>SUM(HP16:HQ16)</f>
        <v>0</v>
      </c>
      <c r="HP16" s="766"/>
      <c r="HQ16" s="767"/>
      <c r="HR16" s="801">
        <f>SUM(HS16:HT16)</f>
        <v>0</v>
      </c>
      <c r="HS16" s="766"/>
      <c r="HT16" s="767"/>
      <c r="HU16" s="957">
        <f>SUM(HV16:HW16)</f>
        <v>0</v>
      </c>
      <c r="HV16" s="766"/>
      <c r="HW16" s="767"/>
      <c r="HX16" s="957">
        <f>SUM(HY16:HZ16)</f>
        <v>0</v>
      </c>
      <c r="HY16" s="766">
        <f>[1]Субсидия_факт!FV23</f>
        <v>0</v>
      </c>
      <c r="HZ16" s="767">
        <f>[1]Субсидия_факт!FZ23</f>
        <v>0</v>
      </c>
      <c r="IA16" s="957">
        <f>SUM(IB16:IC16)</f>
        <v>0</v>
      </c>
      <c r="IB16" s="766"/>
      <c r="IC16" s="767"/>
      <c r="ID16" s="1233">
        <f>SUM(IE16:IF16)</f>
        <v>0</v>
      </c>
      <c r="IE16" s="763">
        <f t="shared" si="186"/>
        <v>0</v>
      </c>
      <c r="IF16" s="762">
        <f t="shared" si="186"/>
        <v>0</v>
      </c>
      <c r="IG16" s="782">
        <f>SUM(IH16:II16)</f>
        <v>0</v>
      </c>
      <c r="IH16" s="763">
        <f t="shared" si="187"/>
        <v>0</v>
      </c>
      <c r="II16" s="762">
        <f t="shared" si="187"/>
        <v>0</v>
      </c>
      <c r="IJ16" s="1233">
        <f>SUM(IK16:IL16)</f>
        <v>0</v>
      </c>
      <c r="IK16" s="763">
        <f>[1]Субсидия_факт!FX23</f>
        <v>0</v>
      </c>
      <c r="IL16" s="762">
        <f>[1]Субсидия_факт!GB23</f>
        <v>0</v>
      </c>
      <c r="IM16" s="782">
        <f>SUM(IN16:IO16)</f>
        <v>0</v>
      </c>
      <c r="IN16" s="763">
        <f t="shared" si="188"/>
        <v>0</v>
      </c>
      <c r="IO16" s="764">
        <f t="shared" si="189"/>
        <v>0</v>
      </c>
      <c r="IP16" s="801">
        <f>SUM(IQ16:IR16)</f>
        <v>0</v>
      </c>
      <c r="IQ16" s="766">
        <f>[1]Субсидия_факт!ED23</f>
        <v>0</v>
      </c>
      <c r="IR16" s="767">
        <f>[1]Субсидия_факт!EF23</f>
        <v>0</v>
      </c>
      <c r="IS16" s="957">
        <f>SUM(IT16:IU16)</f>
        <v>0</v>
      </c>
      <c r="IT16" s="766"/>
      <c r="IU16" s="767"/>
      <c r="IV16" s="1254">
        <f>SUM(IW16:IX16)</f>
        <v>0</v>
      </c>
      <c r="IW16" s="763">
        <f>[1]Субсидия_факт!EH23</f>
        <v>0</v>
      </c>
      <c r="IX16" s="764">
        <f>[1]Субсидия_факт!EL23</f>
        <v>0</v>
      </c>
      <c r="IY16" s="1254">
        <f>SUM(IZ16:JA16)</f>
        <v>0</v>
      </c>
      <c r="IZ16" s="766"/>
      <c r="JA16" s="793"/>
      <c r="JB16" s="1235">
        <f>IV16-JD16</f>
        <v>0</v>
      </c>
      <c r="JC16" s="1235">
        <f>IY16-JE16</f>
        <v>0</v>
      </c>
      <c r="JD16" s="1235">
        <f>IV16</f>
        <v>0</v>
      </c>
      <c r="JE16" s="783">
        <f>IY16</f>
        <v>0</v>
      </c>
      <c r="JF16" s="1258">
        <f>SUM(JG16:JH16)</f>
        <v>0</v>
      </c>
      <c r="JG16" s="763">
        <f>[1]Субсидия_факт!BX23</f>
        <v>0</v>
      </c>
      <c r="JH16" s="764">
        <f>[1]Субсидия_факт!BZ23</f>
        <v>0</v>
      </c>
      <c r="JI16" s="910">
        <f>SUM(JJ16:JK16)</f>
        <v>0</v>
      </c>
      <c r="JJ16" s="763"/>
      <c r="JK16" s="764"/>
      <c r="JL16" s="846">
        <f>SUM(JM16:JN16)</f>
        <v>0</v>
      </c>
      <c r="JM16" s="766">
        <f>[1]Субсидия_факт!ET23</f>
        <v>0</v>
      </c>
      <c r="JN16" s="767">
        <f>[1]Субсидия_факт!EV23</f>
        <v>0</v>
      </c>
      <c r="JO16" s="957">
        <f>SUM(JP16:JQ16)</f>
        <v>0</v>
      </c>
      <c r="JP16" s="766"/>
      <c r="JQ16" s="767"/>
      <c r="JR16" s="910">
        <f>SUM(JS16:JT16)</f>
        <v>0</v>
      </c>
      <c r="JS16" s="763">
        <f>[1]Субсидия_факт!EX23</f>
        <v>0</v>
      </c>
      <c r="JT16" s="762">
        <f>[1]Субсидия_факт!FD23</f>
        <v>0</v>
      </c>
      <c r="JU16" s="910">
        <f>SUM(JV16:JW16)</f>
        <v>0</v>
      </c>
      <c r="JV16" s="763"/>
      <c r="JW16" s="764"/>
      <c r="JX16" s="910">
        <f>SUM(JY16:JZ16)</f>
        <v>0</v>
      </c>
      <c r="JY16" s="763">
        <f>[1]Субсидия_факт!EZ23</f>
        <v>0</v>
      </c>
      <c r="JZ16" s="764">
        <f>[1]Субсидия_факт!FF23</f>
        <v>0</v>
      </c>
      <c r="KA16" s="910">
        <f>SUM(KB16:KC16)</f>
        <v>0</v>
      </c>
      <c r="KB16" s="754"/>
      <c r="KC16" s="768"/>
      <c r="KD16" s="910">
        <f>SUM(KE16:KF16)</f>
        <v>-189668.53</v>
      </c>
      <c r="KE16" s="755">
        <f>'Проверочная  таблица'!JY16-'Проверочная  таблица'!KK16</f>
        <v>-49313.820000000007</v>
      </c>
      <c r="KF16" s="764">
        <f>'Проверочная  таблица'!JZ16-'Проверочная  таблица'!KL16</f>
        <v>-140354.71</v>
      </c>
      <c r="KG16" s="1225">
        <f>SUM(KH16:KI16)</f>
        <v>0</v>
      </c>
      <c r="KH16" s="754">
        <f>'Проверочная  таблица'!KB16-'Проверочная  таблица'!KN16</f>
        <v>0</v>
      </c>
      <c r="KI16" s="771">
        <f>'Проверочная  таблица'!KC16-'Проверочная  таблица'!KO16</f>
        <v>0</v>
      </c>
      <c r="KJ16" s="910">
        <f>SUM(KK16:KL16)</f>
        <v>189668.53</v>
      </c>
      <c r="KK16" s="763">
        <f>[1]Субсидия_факт!FB23</f>
        <v>49313.820000000007</v>
      </c>
      <c r="KL16" s="762">
        <f>[1]Субсидия_факт!FH23</f>
        <v>140354.71</v>
      </c>
      <c r="KM16" s="782">
        <f>SUM(KN16:KO16)</f>
        <v>0</v>
      </c>
      <c r="KN16" s="763"/>
      <c r="KO16" s="764"/>
      <c r="KP16" s="1217">
        <f>SUM(KQ16:KT16)</f>
        <v>2857401.08</v>
      </c>
      <c r="KQ16" s="754">
        <f>[1]Субсидия_факт!OD23</f>
        <v>1947840</v>
      </c>
      <c r="KR16" s="764">
        <f>[1]Субсидия_факт!OJ23</f>
        <v>876551.08</v>
      </c>
      <c r="KS16" s="754">
        <f>[1]Субсидия_факт!OR23</f>
        <v>12000.71</v>
      </c>
      <c r="KT16" s="764">
        <f>[1]Субсидия_факт!OT23</f>
        <v>21009.29</v>
      </c>
      <c r="KU16" s="1217">
        <f>SUM(KV16:KY16)</f>
        <v>0</v>
      </c>
      <c r="KV16" s="754"/>
      <c r="KW16" s="764"/>
      <c r="KX16" s="754"/>
      <c r="KY16" s="764"/>
      <c r="KZ16" s="1217">
        <f>SUM(LA16:LD16)</f>
        <v>11780</v>
      </c>
      <c r="LA16" s="789">
        <f>[1]Субсидия_факт!OF23</f>
        <v>11780</v>
      </c>
      <c r="LB16" s="767">
        <f>[1]Субсидия_факт!OL23</f>
        <v>0</v>
      </c>
      <c r="LC16" s="789"/>
      <c r="LD16" s="767"/>
      <c r="LE16" s="1217">
        <f>SUM(LF16:LI16)</f>
        <v>0</v>
      </c>
      <c r="LF16" s="754"/>
      <c r="LG16" s="764"/>
      <c r="LH16" s="754"/>
      <c r="LI16" s="764"/>
      <c r="LJ16" s="1219">
        <f>SUM(LK16:LL16)</f>
        <v>-9450</v>
      </c>
      <c r="LK16" s="789">
        <f t="shared" si="190"/>
        <v>-9450</v>
      </c>
      <c r="LL16" s="767">
        <f t="shared" si="190"/>
        <v>0</v>
      </c>
      <c r="LM16" s="1219">
        <f>SUM(LN16:LO16)</f>
        <v>0</v>
      </c>
      <c r="LN16" s="789">
        <f t="shared" si="191"/>
        <v>0</v>
      </c>
      <c r="LO16" s="767">
        <f t="shared" si="191"/>
        <v>0</v>
      </c>
      <c r="LP16" s="1219">
        <f>SUM(LQ16:LR16)</f>
        <v>21230</v>
      </c>
      <c r="LQ16" s="763">
        <f>[1]Субсидия_факт!OH23</f>
        <v>21230</v>
      </c>
      <c r="LR16" s="762">
        <f>[1]Субсидия_факт!ON23</f>
        <v>0</v>
      </c>
      <c r="LS16" s="1219">
        <f>SUM(LT16:LU16)</f>
        <v>0</v>
      </c>
      <c r="LT16" s="755"/>
      <c r="LU16" s="764"/>
      <c r="LV16" s="957">
        <f>SUM(LW16:LY16)</f>
        <v>0</v>
      </c>
      <c r="LW16" s="769">
        <f>[1]Субсидия_факт!DP23</f>
        <v>0</v>
      </c>
      <c r="LX16" s="754">
        <f>[1]Субсидия_факт!CB23</f>
        <v>0</v>
      </c>
      <c r="LY16" s="764">
        <f>[1]Субсидия_факт!CH23</f>
        <v>0</v>
      </c>
      <c r="LZ16" s="957">
        <f>SUM(MA16:MC16)</f>
        <v>0</v>
      </c>
      <c r="MA16" s="769"/>
      <c r="MB16" s="754"/>
      <c r="MC16" s="764"/>
      <c r="MD16" s="957">
        <f>SUM(ME16:MG16)</f>
        <v>0</v>
      </c>
      <c r="ME16" s="769">
        <f>[1]Субсидия_факт!DR23</f>
        <v>0</v>
      </c>
      <c r="MF16" s="754">
        <f>[1]Субсидия_факт!CD23</f>
        <v>0</v>
      </c>
      <c r="MG16" s="764">
        <f>[1]Субсидия_факт!CJ23</f>
        <v>0</v>
      </c>
      <c r="MH16" s="957">
        <f>SUM(MI16:MK16)</f>
        <v>0</v>
      </c>
      <c r="MI16" s="769"/>
      <c r="MJ16" s="754"/>
      <c r="MK16" s="762"/>
      <c r="ML16" s="783">
        <f>SUM(MM16:MO16)</f>
        <v>0</v>
      </c>
      <c r="MM16" s="766">
        <f>'Проверочная  таблица'!ME16-MU16</f>
        <v>0</v>
      </c>
      <c r="MN16" s="766">
        <f>'Проверочная  таблица'!MF16-MV16</f>
        <v>0</v>
      </c>
      <c r="MO16" s="767">
        <f>'Проверочная  таблица'!MG16-MW16</f>
        <v>0</v>
      </c>
      <c r="MP16" s="783">
        <f>SUM(MQ16:MS16)</f>
        <v>0</v>
      </c>
      <c r="MQ16" s="766">
        <f>'Проверочная  таблица'!MI16-MY16</f>
        <v>0</v>
      </c>
      <c r="MR16" s="766">
        <f>'Проверочная  таблица'!MJ16-MZ16</f>
        <v>0</v>
      </c>
      <c r="MS16" s="767">
        <f>'Проверочная  таблица'!MK16-NA16</f>
        <v>0</v>
      </c>
      <c r="MT16" s="783">
        <f>SUM(MU16:MW16)</f>
        <v>0</v>
      </c>
      <c r="MU16" s="754">
        <f>[1]Субсидия_факт!DT23</f>
        <v>0</v>
      </c>
      <c r="MV16" s="754">
        <f>[1]Субсидия_факт!CF23</f>
        <v>0</v>
      </c>
      <c r="MW16" s="764">
        <f>[1]Субсидия_факт!CL23</f>
        <v>0</v>
      </c>
      <c r="MX16" s="783">
        <f>SUM(MY16:NA16)</f>
        <v>0</v>
      </c>
      <c r="MY16" s="754"/>
      <c r="MZ16" s="754"/>
      <c r="NA16" s="764"/>
      <c r="NB16" s="1224">
        <f>SUM(NC16:NI16)</f>
        <v>189668.53</v>
      </c>
      <c r="NC16" s="754">
        <f>[1]Субсидия_факт!CN23</f>
        <v>0</v>
      </c>
      <c r="ND16" s="762">
        <f>[1]Субсидия_факт!CP23</f>
        <v>0</v>
      </c>
      <c r="NE16" s="766">
        <f>[1]Субсидия_факт!CR23</f>
        <v>0</v>
      </c>
      <c r="NF16" s="767">
        <f>[1]Субсидия_факт!CT23</f>
        <v>0</v>
      </c>
      <c r="NG16" s="755">
        <f>[1]Субсидия_факт!DV23</f>
        <v>0</v>
      </c>
      <c r="NH16" s="763">
        <f>[1]Субсидия_факт!FJ23</f>
        <v>49313.820000000007</v>
      </c>
      <c r="NI16" s="762">
        <f>[1]Субсидия_факт!FP23</f>
        <v>140354.71</v>
      </c>
      <c r="NJ16" s="910">
        <f>SUM(NK16:NQ16)</f>
        <v>189668.53</v>
      </c>
      <c r="NK16" s="754"/>
      <c r="NL16" s="764"/>
      <c r="NM16" s="770"/>
      <c r="NN16" s="794"/>
      <c r="NO16" s="754"/>
      <c r="NP16" s="754">
        <f t="shared" si="192"/>
        <v>49313.820000000007</v>
      </c>
      <c r="NQ16" s="764">
        <f t="shared" si="192"/>
        <v>140354.71</v>
      </c>
      <c r="NR16" s="910">
        <f>SUM(NS16:NT16)</f>
        <v>0</v>
      </c>
      <c r="NS16" s="763">
        <f>[1]Субсидия_факт!FL23</f>
        <v>0</v>
      </c>
      <c r="NT16" s="762">
        <f>[1]Субсидия_факт!FR23</f>
        <v>0</v>
      </c>
      <c r="NU16" s="910">
        <f>SUM(NV16:NW16)</f>
        <v>0</v>
      </c>
      <c r="NV16" s="755"/>
      <c r="NW16" s="764"/>
      <c r="NX16" s="782">
        <f>SUM(NY16:NZ16)</f>
        <v>0</v>
      </c>
      <c r="NY16" s="763">
        <f>'Проверочная  таблица'!NS16-OE16</f>
        <v>0</v>
      </c>
      <c r="NZ16" s="764">
        <f>'Проверочная  таблица'!NT16-OF16</f>
        <v>0</v>
      </c>
      <c r="OA16" s="782">
        <f>SUM(OB16:OC16)</f>
        <v>0</v>
      </c>
      <c r="OB16" s="754">
        <f>'Проверочная  таблица'!NV16-OH16</f>
        <v>0</v>
      </c>
      <c r="OC16" s="771">
        <f>'Проверочная  таблица'!NW16-OI16</f>
        <v>0</v>
      </c>
      <c r="OD16" s="782">
        <f>SUM(OE16:OF16)</f>
        <v>0</v>
      </c>
      <c r="OE16" s="763">
        <f>[1]Субсидия_факт!FN23</f>
        <v>0</v>
      </c>
      <c r="OF16" s="762">
        <f>[1]Субсидия_факт!FT23</f>
        <v>0</v>
      </c>
      <c r="OG16" s="782">
        <f>SUM(OH16:OI16)</f>
        <v>0</v>
      </c>
      <c r="OH16" s="754"/>
      <c r="OI16" s="764"/>
      <c r="OJ16" s="919">
        <f>SUM(OK16:OM16)</f>
        <v>0</v>
      </c>
      <c r="OK16" s="763">
        <f>[1]Субсидия_факт!AR23</f>
        <v>0</v>
      </c>
      <c r="OL16" s="762">
        <f>[1]Субсидия_факт!AT23</f>
        <v>0</v>
      </c>
      <c r="OM16" s="763">
        <f>[1]Субсидия_факт!AV23</f>
        <v>0</v>
      </c>
      <c r="ON16" s="957">
        <f>SUM(OO16:OQ16)</f>
        <v>0</v>
      </c>
      <c r="OO16" s="770"/>
      <c r="OP16" s="767"/>
      <c r="OQ16" s="770"/>
      <c r="OR16" s="1238">
        <f>SUM(OS16:OU16)</f>
        <v>0</v>
      </c>
      <c r="OS16" s="763">
        <f>[1]Субсидия_факт!GD23</f>
        <v>0</v>
      </c>
      <c r="OT16" s="762">
        <f>[1]Субсидия_факт!GJ23</f>
        <v>0</v>
      </c>
      <c r="OU16" s="770">
        <f>[1]Субсидия_факт!GP23</f>
        <v>0</v>
      </c>
      <c r="OV16" s="1238">
        <f>SUM(OW16:OY16)</f>
        <v>0</v>
      </c>
      <c r="OW16" s="755"/>
      <c r="OX16" s="764"/>
      <c r="OY16" s="754"/>
      <c r="OZ16" s="1217">
        <f>SUM(PA16:PC16)</f>
        <v>0</v>
      </c>
      <c r="PA16" s="763">
        <f>[1]Субсидия_факт!GF23</f>
        <v>0</v>
      </c>
      <c r="PB16" s="762">
        <f>[1]Субсидия_факт!GL23</f>
        <v>0</v>
      </c>
      <c r="PC16" s="754">
        <f>[1]Субсидия_факт!GR23</f>
        <v>0</v>
      </c>
      <c r="PD16" s="1217">
        <f>SUM(PE16:PG16)</f>
        <v>0</v>
      </c>
      <c r="PE16" s="754"/>
      <c r="PF16" s="771"/>
      <c r="PG16" s="754"/>
      <c r="PH16" s="1219">
        <f>SUM(PI16:PK16)</f>
        <v>0</v>
      </c>
      <c r="PI16" s="789">
        <f>'Проверочная  таблица'!PA16-PQ16</f>
        <v>0</v>
      </c>
      <c r="PJ16" s="767">
        <f>'Проверочная  таблица'!PB16-PR16</f>
        <v>0</v>
      </c>
      <c r="PK16" s="770">
        <f>'Проверочная  таблица'!PC16-PS16</f>
        <v>0</v>
      </c>
      <c r="PL16" s="1219">
        <f>SUM(PM16:PO16)</f>
        <v>0</v>
      </c>
      <c r="PM16" s="755">
        <f>'Проверочная  таблица'!PE16-PU16</f>
        <v>0</v>
      </c>
      <c r="PN16" s="764">
        <f>'Проверочная  таблица'!PF16-PV16</f>
        <v>0</v>
      </c>
      <c r="PO16" s="754">
        <f>'Проверочная  таблица'!PG16-PW16</f>
        <v>0</v>
      </c>
      <c r="PP16" s="1219">
        <f>SUM(PQ16:PS16)</f>
        <v>0</v>
      </c>
      <c r="PQ16" s="763">
        <f>[1]Субсидия_факт!GH23</f>
        <v>0</v>
      </c>
      <c r="PR16" s="762">
        <f>[1]Субсидия_факт!GN23</f>
        <v>0</v>
      </c>
      <c r="PS16" s="763">
        <f>[1]Субсидия_факт!GT23</f>
        <v>0</v>
      </c>
      <c r="PT16" s="1219">
        <f>SUM(PU16:PW16)</f>
        <v>0</v>
      </c>
      <c r="PU16" s="755">
        <f t="shared" si="193"/>
        <v>0</v>
      </c>
      <c r="PV16" s="764">
        <f t="shared" si="194"/>
        <v>0</v>
      </c>
      <c r="PW16" s="763"/>
      <c r="PX16" s="910">
        <f t="shared" si="195"/>
        <v>0</v>
      </c>
      <c r="PY16" s="766">
        <f>[1]Субсидия_факт!JB23</f>
        <v>0</v>
      </c>
      <c r="PZ16" s="767">
        <f>[1]Субсидия_факт!JH23</f>
        <v>0</v>
      </c>
      <c r="QA16" s="766"/>
      <c r="QB16" s="767"/>
      <c r="QC16" s="910">
        <f t="shared" si="196"/>
        <v>0</v>
      </c>
      <c r="QD16" s="770"/>
      <c r="QE16" s="794"/>
      <c r="QF16" s="770"/>
      <c r="QG16" s="794"/>
      <c r="QH16" s="957">
        <f>SUM(QI16:QJ16)</f>
        <v>0</v>
      </c>
      <c r="QI16" s="766">
        <f>[1]Субсидия_факт!JD23</f>
        <v>0</v>
      </c>
      <c r="QJ16" s="767">
        <f>[1]Субсидия_факт!JJ23</f>
        <v>0</v>
      </c>
      <c r="QK16" s="1253">
        <f>SUM(QL16:QM16)</f>
        <v>0</v>
      </c>
      <c r="QL16" s="770"/>
      <c r="QM16" s="794"/>
      <c r="QN16" s="783">
        <f>SUM(QO16:QP16)</f>
        <v>0</v>
      </c>
      <c r="QO16" s="770">
        <f t="shared" si="197"/>
        <v>0</v>
      </c>
      <c r="QP16" s="767">
        <f t="shared" si="197"/>
        <v>0</v>
      </c>
      <c r="QQ16" s="1235">
        <f>SUM(QR16:QS16)</f>
        <v>0</v>
      </c>
      <c r="QR16" s="766">
        <f t="shared" si="198"/>
        <v>0</v>
      </c>
      <c r="QS16" s="767">
        <f t="shared" si="198"/>
        <v>0</v>
      </c>
      <c r="QT16" s="1235">
        <f>SUM(QU16:QV16)</f>
        <v>0</v>
      </c>
      <c r="QU16" s="766">
        <f>[1]Субсидия_факт!JF23</f>
        <v>0</v>
      </c>
      <c r="QV16" s="767">
        <f>[1]Субсидия_факт!JL23</f>
        <v>0</v>
      </c>
      <c r="QW16" s="923">
        <f>SUM(QX16:QY16)</f>
        <v>0</v>
      </c>
      <c r="QX16" s="770"/>
      <c r="QY16" s="794"/>
      <c r="QZ16" s="957">
        <f>SUM(RA16:RB16)</f>
        <v>0</v>
      </c>
      <c r="RA16" s="766">
        <f>[1]Субсидия_факт!CV23</f>
        <v>0</v>
      </c>
      <c r="RB16" s="767">
        <f>[1]Субсидия_факт!CX23</f>
        <v>0</v>
      </c>
      <c r="RC16" s="957">
        <f>SUM(RD16:RE16)</f>
        <v>0</v>
      </c>
      <c r="RD16" s="766"/>
      <c r="RE16" s="767"/>
      <c r="RF16" s="801">
        <f>SUM(RG16:RH16)</f>
        <v>0</v>
      </c>
      <c r="RG16" s="766">
        <f>[1]Субсидия_факт!CZ23</f>
        <v>0</v>
      </c>
      <c r="RH16" s="767">
        <f>[1]Субсидия_факт!DF23</f>
        <v>0</v>
      </c>
      <c r="RI16" s="957">
        <f>SUM(RJ16:RK16)</f>
        <v>0</v>
      </c>
      <c r="RJ16" s="766"/>
      <c r="RK16" s="767"/>
      <c r="RL16" s="801">
        <f t="shared" si="127"/>
        <v>0</v>
      </c>
      <c r="RM16" s="766">
        <f>[1]Субсидия_факт!DB23</f>
        <v>0</v>
      </c>
      <c r="RN16" s="767">
        <f>[1]Субсидия_факт!DH23</f>
        <v>0</v>
      </c>
      <c r="RO16" s="957">
        <f>SUM(RP16:RQ16)</f>
        <v>0</v>
      </c>
      <c r="RP16" s="766"/>
      <c r="RQ16" s="767"/>
      <c r="RR16" s="1235">
        <f>SUM(RS16:RT16)</f>
        <v>0</v>
      </c>
      <c r="RS16" s="766">
        <f t="shared" si="199"/>
        <v>0</v>
      </c>
      <c r="RT16" s="767">
        <f t="shared" si="199"/>
        <v>0</v>
      </c>
      <c r="RU16" s="783">
        <f>SUM(RV16:RW16)</f>
        <v>0</v>
      </c>
      <c r="RV16" s="766">
        <f t="shared" si="200"/>
        <v>0</v>
      </c>
      <c r="RW16" s="767">
        <f t="shared" si="200"/>
        <v>0</v>
      </c>
      <c r="RX16" s="801">
        <f t="shared" si="133"/>
        <v>0</v>
      </c>
      <c r="RY16" s="766">
        <f>[1]Субсидия_факт!DD23</f>
        <v>0</v>
      </c>
      <c r="RZ16" s="767">
        <f>[1]Субсидия_факт!DJ23</f>
        <v>0</v>
      </c>
      <c r="SA16" s="783">
        <f>SUM(SB16:SC16)</f>
        <v>0</v>
      </c>
      <c r="SB16" s="766"/>
      <c r="SC16" s="767"/>
      <c r="SD16" s="801">
        <f>SUM(SE16:SF16)</f>
        <v>0</v>
      </c>
      <c r="SE16" s="766">
        <f>[1]Субсидия_факт!DL23</f>
        <v>0</v>
      </c>
      <c r="SF16" s="767">
        <f>[1]Субсидия_факт!DN23</f>
        <v>0</v>
      </c>
      <c r="SG16" s="1253">
        <f>SUM(SH16:SI16)</f>
        <v>0</v>
      </c>
      <c r="SH16" s="789"/>
      <c r="SI16" s="793"/>
      <c r="SJ16" s="957">
        <f>SUM(SK16:SM16)</f>
        <v>0</v>
      </c>
      <c r="SK16" s="763">
        <f>[1]Субсидия_факт!BJ23</f>
        <v>0</v>
      </c>
      <c r="SL16" s="766">
        <f>[1]Субсидия_факт!BF23</f>
        <v>0</v>
      </c>
      <c r="SM16" s="793">
        <f>[1]Субсидия_факт!BH23</f>
        <v>0</v>
      </c>
      <c r="SN16" s="957">
        <f>SUM(SO16:SQ16)</f>
        <v>0</v>
      </c>
      <c r="SO16" s="795"/>
      <c r="SP16" s="789"/>
      <c r="SQ16" s="793"/>
      <c r="SR16" s="801">
        <f t="shared" si="138"/>
        <v>0</v>
      </c>
      <c r="SS16" s="766">
        <f>[1]Субсидия_факт!AD23</f>
        <v>0</v>
      </c>
      <c r="ST16" s="767">
        <f>[1]Субсидия_факт!AF23</f>
        <v>0</v>
      </c>
      <c r="SU16" s="957">
        <f>SUM(SV16:SW16)</f>
        <v>0</v>
      </c>
      <c r="SV16" s="789"/>
      <c r="SW16" s="793"/>
      <c r="SX16" s="801">
        <f>SUM(SY16:TD16)</f>
        <v>0</v>
      </c>
      <c r="SY16" s="766">
        <f>[1]Субсидия_факт!ID23</f>
        <v>0</v>
      </c>
      <c r="SZ16" s="767">
        <f>[1]Субсидия_факт!IJ23</f>
        <v>0</v>
      </c>
      <c r="TA16" s="789">
        <f>[1]Субсидия_факт!IP23</f>
        <v>0</v>
      </c>
      <c r="TB16" s="767">
        <f>[1]Субсидия_факт!IV23</f>
        <v>0</v>
      </c>
      <c r="TC16" s="1028">
        <f>[1]Субсидия_факт!JZ23</f>
        <v>0</v>
      </c>
      <c r="TD16" s="793">
        <f>[1]Субсидия_факт!KF23</f>
        <v>0</v>
      </c>
      <c r="TE16" s="957">
        <f>SUM(TF16:TK16)</f>
        <v>0</v>
      </c>
      <c r="TF16" s="1162"/>
      <c r="TG16" s="794"/>
      <c r="TH16" s="1162"/>
      <c r="TI16" s="794"/>
      <c r="TJ16" s="1028"/>
      <c r="TK16" s="793"/>
      <c r="TL16" s="846">
        <f>SUM(TM16:TR16)</f>
        <v>0</v>
      </c>
      <c r="TM16" s="766">
        <f>[1]Субсидия_факт!IF23</f>
        <v>0</v>
      </c>
      <c r="TN16" s="767">
        <f>[1]Субсидия_факт!IL23</f>
        <v>0</v>
      </c>
      <c r="TO16" s="789">
        <f>[1]Субсидия_факт!IR23</f>
        <v>0</v>
      </c>
      <c r="TP16" s="767">
        <f>[1]Субсидия_факт!IX23</f>
        <v>0</v>
      </c>
      <c r="TQ16" s="789">
        <f>[1]Субсидия_факт!KB23</f>
        <v>0</v>
      </c>
      <c r="TR16" s="767">
        <f>[1]Субсидия_факт!KH23</f>
        <v>0</v>
      </c>
      <c r="TS16" s="957">
        <f>SUM(TT16:TY16)</f>
        <v>0</v>
      </c>
      <c r="TT16" s="770"/>
      <c r="TU16" s="794"/>
      <c r="TV16" s="1028"/>
      <c r="TW16" s="794"/>
      <c r="TX16" s="770"/>
      <c r="TY16" s="794"/>
      <c r="TZ16" s="923">
        <f>SUM(UA16:UF16)</f>
        <v>0</v>
      </c>
      <c r="UA16" s="766">
        <f t="shared" si="201"/>
        <v>0</v>
      </c>
      <c r="UB16" s="767">
        <f t="shared" si="201"/>
        <v>0</v>
      </c>
      <c r="UC16" s="766">
        <f t="shared" si="201"/>
        <v>0</v>
      </c>
      <c r="UD16" s="767">
        <f t="shared" si="201"/>
        <v>0</v>
      </c>
      <c r="UE16" s="789">
        <f t="shared" si="201"/>
        <v>0</v>
      </c>
      <c r="UF16" s="767">
        <f t="shared" si="201"/>
        <v>0</v>
      </c>
      <c r="UG16" s="783">
        <f>SUM(UH16:UM16)</f>
        <v>0</v>
      </c>
      <c r="UH16" s="766">
        <f t="shared" si="202"/>
        <v>0</v>
      </c>
      <c r="UI16" s="767">
        <f t="shared" si="202"/>
        <v>0</v>
      </c>
      <c r="UJ16" s="766">
        <f t="shared" si="202"/>
        <v>0</v>
      </c>
      <c r="UK16" s="767">
        <f t="shared" si="202"/>
        <v>0</v>
      </c>
      <c r="UL16" s="789">
        <f t="shared" si="202"/>
        <v>0</v>
      </c>
      <c r="UM16" s="767">
        <f t="shared" si="202"/>
        <v>0</v>
      </c>
      <c r="UN16" s="936">
        <f>SUM(UO16:UT16)</f>
        <v>0</v>
      </c>
      <c r="UO16" s="766">
        <f>[1]Субсидия_факт!IH23</f>
        <v>0</v>
      </c>
      <c r="UP16" s="767">
        <f>[1]Субсидия_факт!IN23</f>
        <v>0</v>
      </c>
      <c r="UQ16" s="789">
        <f>[1]Субсидия_факт!IT23</f>
        <v>0</v>
      </c>
      <c r="UR16" s="767">
        <f>[1]Субсидия_факт!IZ23</f>
        <v>0</v>
      </c>
      <c r="US16" s="789">
        <f>[1]Субсидия_факт!KD23</f>
        <v>0</v>
      </c>
      <c r="UT16" s="767">
        <f>[1]Субсидия_факт!KJ23</f>
        <v>0</v>
      </c>
      <c r="UU16" s="783">
        <f>SUM(UV16:VA16)</f>
        <v>0</v>
      </c>
      <c r="UV16" s="1028"/>
      <c r="UW16" s="794"/>
      <c r="UX16" s="1028"/>
      <c r="UY16" s="794"/>
      <c r="UZ16" s="1028"/>
      <c r="VA16" s="794"/>
      <c r="VB16" s="957">
        <f>'Прочая  субсидия_МР  и  ГО'!B11</f>
        <v>78659337.050000012</v>
      </c>
      <c r="VC16" s="957">
        <f>'Прочая  субсидия_МР  и  ГО'!C11</f>
        <v>11972506.960000001</v>
      </c>
      <c r="VD16" s="1234">
        <f>'Прочая  субсидия_БП'!B11</f>
        <v>2009128.73</v>
      </c>
      <c r="VE16" s="801">
        <f>'Прочая  субсидия_БП'!C11</f>
        <v>0</v>
      </c>
      <c r="VF16" s="1255">
        <f>'Прочая  субсидия_БП'!D11</f>
        <v>1539496.3</v>
      </c>
      <c r="VG16" s="1248">
        <f>'Прочая  субсидия_БП'!E11</f>
        <v>0</v>
      </c>
      <c r="VH16" s="1249">
        <f>'Прочая  субсидия_БП'!F11</f>
        <v>469632.43</v>
      </c>
      <c r="VI16" s="1255">
        <f>'Прочая  субсидия_БП'!G11</f>
        <v>0</v>
      </c>
      <c r="VJ16" s="801">
        <f>SUM(VK16:VL16)</f>
        <v>284004077.30999994</v>
      </c>
      <c r="VK16" s="770">
        <f>'Проверочная  таблица'!WM16+'Проверочная  таблица'!VP16+'Проверочная  таблица'!VR16+WG16</f>
        <v>275692707.39999992</v>
      </c>
      <c r="VL16" s="795">
        <f>'Проверочная  таблица'!WN16+'Проверочная  таблица'!VV16+'Проверочная  таблица'!WB16+'Проверочная  таблица'!VX16+'Проверочная  таблица'!VZ16+WD16+WH16+VT16</f>
        <v>8311369.9100000001</v>
      </c>
      <c r="VM16" s="957">
        <f>SUM(VN16:VO16)</f>
        <v>148350012.60000002</v>
      </c>
      <c r="VN16" s="770">
        <f>'Проверочная  таблица'!WP16+'Проверочная  таблица'!VQ16+'Проверочная  таблица'!VS16+WJ16</f>
        <v>145568261.24000001</v>
      </c>
      <c r="VO16" s="795">
        <f>'Проверочная  таблица'!WQ16+'Проверочная  таблица'!VW16+'Проверочная  таблица'!WC16+'Проверочная  таблица'!VY16+'Проверочная  таблица'!WA16+WE16+WK16+VU16</f>
        <v>2781751.36</v>
      </c>
      <c r="VP16" s="1253">
        <f>'Субвенция  на  полномочия'!B11</f>
        <v>264694031.58999997</v>
      </c>
      <c r="VQ16" s="1234">
        <f>'Субвенция  на  полномочия'!C11</f>
        <v>140432956</v>
      </c>
      <c r="VR16" s="790">
        <f>[1]Субвенция_факт!M22*1000</f>
        <v>7750690</v>
      </c>
      <c r="VS16" s="796">
        <v>3668726.43</v>
      </c>
      <c r="VT16" s="790">
        <f>[1]Субвенция_факт!AE22*1000</f>
        <v>2348100</v>
      </c>
      <c r="VU16" s="796">
        <f>ВУС!E9</f>
        <v>70242.75</v>
      </c>
      <c r="VV16" s="790">
        <f>[1]Субвенция_факт!AF22*1000</f>
        <v>0</v>
      </c>
      <c r="VW16" s="796"/>
      <c r="VX16" s="1256">
        <f>[1]Субвенция_факт!AG22*1000</f>
        <v>0</v>
      </c>
      <c r="VY16" s="797"/>
      <c r="VZ16" s="792">
        <f>[1]Субвенция_факт!E22*1000</f>
        <v>0</v>
      </c>
      <c r="WA16" s="797"/>
      <c r="WB16" s="792">
        <f>[1]Субвенция_факт!F22*1000</f>
        <v>0</v>
      </c>
      <c r="WC16" s="797"/>
      <c r="WD16" s="791">
        <f>[1]Субвенция_факт!G22*1000</f>
        <v>0</v>
      </c>
      <c r="WE16" s="796"/>
      <c r="WF16" s="801">
        <f>SUM(WG16:WH16)</f>
        <v>6943607.9900000002</v>
      </c>
      <c r="WG16" s="766">
        <f>[1]Субвенция_факт!P22*1000</f>
        <v>1805338.08</v>
      </c>
      <c r="WH16" s="767">
        <f>[1]Субвенция_факт!Q22*1000</f>
        <v>5138269.91</v>
      </c>
      <c r="WI16" s="957">
        <f>SUM(WJ16:WK16)</f>
        <v>3217610.81</v>
      </c>
      <c r="WJ16" s="770">
        <v>836578.81</v>
      </c>
      <c r="WK16" s="798">
        <v>2381032</v>
      </c>
      <c r="WL16" s="957">
        <f>SUM(WM16:WN16)</f>
        <v>2267647.73</v>
      </c>
      <c r="WM16" s="799">
        <f>[1]Субвенция_факт!X22*1000</f>
        <v>1442647.73</v>
      </c>
      <c r="WN16" s="800">
        <f>[1]Субвенция_факт!W22*1000</f>
        <v>825000</v>
      </c>
      <c r="WO16" s="957">
        <f>SUM(WP16:WQ16)</f>
        <v>960476.61</v>
      </c>
      <c r="WP16" s="770">
        <v>630000</v>
      </c>
      <c r="WQ16" s="798">
        <v>330476.61</v>
      </c>
      <c r="WR16" s="957">
        <f>WT16+WZ16+XF16+XL16+XP16+XX16+YT16</f>
        <v>65180303.890000001</v>
      </c>
      <c r="WS16" s="957">
        <f>WW16+XC16+XI16+XN16+XR16+YI16+YZ16</f>
        <v>10604773.439999999</v>
      </c>
      <c r="WT16" s="1253">
        <f>SUM(WU16:WV16)</f>
        <v>0</v>
      </c>
      <c r="WU16" s="799">
        <f>'[1]Иные межбюджетные трансферты'!AM23</f>
        <v>0</v>
      </c>
      <c r="WV16" s="800">
        <f>'[1]Иные межбюджетные трансферты'!AO23</f>
        <v>0</v>
      </c>
      <c r="WW16" s="1253">
        <f>SUM(WX16:WY16)</f>
        <v>0</v>
      </c>
      <c r="WX16" s="799"/>
      <c r="WY16" s="800"/>
      <c r="WZ16" s="957">
        <f>SUM(XA16:XB16)</f>
        <v>1348095.69</v>
      </c>
      <c r="XA16" s="799">
        <f>'[1]Иные межбюджетные трансферты'!AI23</f>
        <v>67404.78</v>
      </c>
      <c r="XB16" s="800">
        <f>'[1]Иные межбюджетные трансферты'!AK23</f>
        <v>1280690.9099999999</v>
      </c>
      <c r="XC16" s="957">
        <f>SUM(XD16:XE16)</f>
        <v>786380</v>
      </c>
      <c r="XD16" s="799">
        <v>39319.01</v>
      </c>
      <c r="XE16" s="800">
        <v>747060.99</v>
      </c>
      <c r="XF16" s="957">
        <f>SUM(XG16:XH16)</f>
        <v>10758280</v>
      </c>
      <c r="XG16" s="799">
        <f>'[1]Иные межбюджетные трансферты'!I23</f>
        <v>0</v>
      </c>
      <c r="XH16" s="800">
        <f>'[1]Иные межбюджетные трансферты'!K23</f>
        <v>10758280</v>
      </c>
      <c r="XI16" s="957">
        <f>SUM(XJ16:XK16)</f>
        <v>9055225</v>
      </c>
      <c r="XJ16" s="786"/>
      <c r="XK16" s="800">
        <v>9055225</v>
      </c>
      <c r="XL16" s="957">
        <f>SUM(XM16:XM16)</f>
        <v>0</v>
      </c>
      <c r="XM16" s="789"/>
      <c r="XN16" s="957">
        <f>SUM(XO16:XO16)</f>
        <v>0</v>
      </c>
      <c r="XO16" s="789"/>
      <c r="XP16" s="801">
        <f>SUM(XQ16:XQ16)</f>
        <v>0</v>
      </c>
      <c r="XQ16" s="766">
        <f>'[1]Иные межбюджетные трансферты'!M23</f>
        <v>0</v>
      </c>
      <c r="XR16" s="957">
        <f>SUM(XS16:XS16)</f>
        <v>0</v>
      </c>
      <c r="XS16" s="770"/>
      <c r="XT16" s="1252">
        <f>XP16-XV16</f>
        <v>0</v>
      </c>
      <c r="XU16" s="783">
        <f>XR16-XW16</f>
        <v>0</v>
      </c>
      <c r="XV16" s="1252">
        <f>XP16</f>
        <v>0</v>
      </c>
      <c r="XW16" s="783">
        <f>XR16</f>
        <v>0</v>
      </c>
      <c r="XX16" s="957">
        <f>SUM(XY16:YH16)</f>
        <v>53073928.200000003</v>
      </c>
      <c r="XY16" s="787">
        <f>'[1]Иные межбюджетные трансферты'!E23</f>
        <v>0</v>
      </c>
      <c r="XZ16" s="799">
        <f>'[1]Иные межбюджетные трансферты'!G23</f>
        <v>0</v>
      </c>
      <c r="YA16" s="786">
        <f>'[1]Иные межбюджетные трансферты'!Q23</f>
        <v>0</v>
      </c>
      <c r="YB16" s="787">
        <f>'[1]Иные межбюджетные трансферты'!W23</f>
        <v>0</v>
      </c>
      <c r="YC16" s="786">
        <f>'[1]Иные межбюджетные трансферты'!Y23</f>
        <v>0</v>
      </c>
      <c r="YD16" s="1116">
        <f>'[1]Иные межбюджетные трансферты'!AE23</f>
        <v>46926725</v>
      </c>
      <c r="YE16" s="786">
        <f>'[1]Иные межбюджетные трансферты'!AQ23</f>
        <v>3521500</v>
      </c>
      <c r="YF16" s="766">
        <f>'[1]Иные межбюджетные трансферты'!AW23</f>
        <v>0</v>
      </c>
      <c r="YG16" s="786">
        <f>'[1]Иные межбюджетные трансферты'!AY23</f>
        <v>0</v>
      </c>
      <c r="YH16" s="1116">
        <f>'[1]Иные межбюджетные трансферты'!BA23</f>
        <v>2625703.2000000002</v>
      </c>
      <c r="YI16" s="957">
        <f>SUM(YJ16:YS16)</f>
        <v>763168.44</v>
      </c>
      <c r="YJ16" s="786"/>
      <c r="YK16" s="786"/>
      <c r="YL16" s="755"/>
      <c r="YM16" s="786"/>
      <c r="YN16" s="751">
        <f>YC16</f>
        <v>0</v>
      </c>
      <c r="YO16" s="751">
        <v>0</v>
      </c>
      <c r="YP16" s="751"/>
      <c r="YQ16" s="751"/>
      <c r="YR16" s="751"/>
      <c r="YS16" s="751">
        <v>763168.44</v>
      </c>
      <c r="YT16" s="957">
        <f>SUM(YU16:YY16)</f>
        <v>0</v>
      </c>
      <c r="YU16" s="799">
        <f>'[1]Иные межбюджетные трансферты'!S23</f>
        <v>0</v>
      </c>
      <c r="YV16" s="786">
        <f>'[1]Иные межбюджетные трансферты'!AA23</f>
        <v>0</v>
      </c>
      <c r="YW16" s="1116">
        <f>'[1]Иные межбюджетные трансферты'!AG23</f>
        <v>0</v>
      </c>
      <c r="YX16" s="787">
        <f>'[1]Иные межбюджетные трансферты'!AS23</f>
        <v>0</v>
      </c>
      <c r="YY16" s="751">
        <f>'[1]Иные межбюджетные трансферты'!BC23</f>
        <v>0</v>
      </c>
      <c r="YZ16" s="957">
        <f>SUM(ZA16:ZE16)</f>
        <v>0</v>
      </c>
      <c r="ZA16" s="769"/>
      <c r="ZB16" s="769">
        <f>YV16</f>
        <v>0</v>
      </c>
      <c r="ZC16" s="769"/>
      <c r="ZD16" s="751"/>
      <c r="ZE16" s="751"/>
      <c r="ZF16" s="783">
        <f>SUM(ZG16:ZK16)</f>
        <v>0</v>
      </c>
      <c r="ZG16" s="763">
        <f>'Проверочная  таблица'!YU16-ZS16</f>
        <v>0</v>
      </c>
      <c r="ZH16" s="763">
        <f>'Проверочная  таблица'!YV16-ZT16</f>
        <v>0</v>
      </c>
      <c r="ZI16" s="763">
        <f>'Проверочная  таблица'!YW16-ZU16</f>
        <v>0</v>
      </c>
      <c r="ZJ16" s="763">
        <f>'Проверочная  таблица'!YX16-ZV16</f>
        <v>0</v>
      </c>
      <c r="ZK16" s="763">
        <f>'Проверочная  таблица'!YY16-ZW16</f>
        <v>0</v>
      </c>
      <c r="ZL16" s="783">
        <f>SUM(ZM16:ZQ16)</f>
        <v>0</v>
      </c>
      <c r="ZM16" s="763">
        <f>'Проверочная  таблица'!ZA16-ZY16</f>
        <v>0</v>
      </c>
      <c r="ZN16" s="763">
        <f>'Проверочная  таблица'!ZB16-ZZ16</f>
        <v>0</v>
      </c>
      <c r="ZO16" s="763">
        <f>'Проверочная  таблица'!ZC16-AAA16</f>
        <v>0</v>
      </c>
      <c r="ZP16" s="763">
        <f>'Проверочная  таблица'!ZD16-AAB16</f>
        <v>0</v>
      </c>
      <c r="ZQ16" s="763">
        <f>'Проверочная  таблица'!ZE16-AAC16</f>
        <v>0</v>
      </c>
      <c r="ZR16" s="783">
        <f>SUM(ZS16:ZW16)</f>
        <v>0</v>
      </c>
      <c r="ZS16" s="799">
        <f>'[1]Иные межбюджетные трансферты'!U23</f>
        <v>0</v>
      </c>
      <c r="ZT16" s="786">
        <f>'[1]Иные межбюджетные трансферты'!AC23</f>
        <v>0</v>
      </c>
      <c r="ZU16" s="787"/>
      <c r="ZV16" s="799">
        <f>'[1]Иные межбюджетные трансферты'!AU23</f>
        <v>0</v>
      </c>
      <c r="ZW16" s="751"/>
      <c r="ZX16" s="783">
        <f>SUM(ZY16:AAC16)</f>
        <v>0</v>
      </c>
      <c r="ZY16" s="769"/>
      <c r="ZZ16" s="769">
        <f>ZB16</f>
        <v>0</v>
      </c>
      <c r="AAA16" s="769"/>
      <c r="AAB16" s="751"/>
      <c r="AAC16" s="751"/>
      <c r="AAD16" s="957">
        <f>AAF16+'Проверочная  таблица'!AAN16+AAJ16+'Проверочная  таблица'!AAR16+AAL16+'Проверочная  таблица'!AAT16</f>
        <v>0</v>
      </c>
      <c r="AAE16" s="957">
        <f>AAG16+'Проверочная  таблица'!AAO16+AAK16+'Проверочная  таблица'!AAS16+AAM16+'Проверочная  таблица'!AAU16</f>
        <v>0</v>
      </c>
      <c r="AAF16" s="801"/>
      <c r="AAG16" s="801"/>
      <c r="AAH16" s="801"/>
      <c r="AAI16" s="801"/>
      <c r="AAJ16" s="1235">
        <f t="shared" si="203"/>
        <v>0</v>
      </c>
      <c r="AAK16" s="783">
        <f t="shared" si="203"/>
        <v>0</v>
      </c>
      <c r="AAL16" s="802"/>
      <c r="AAM16" s="783"/>
      <c r="AAN16" s="801"/>
      <c r="AAO16" s="801"/>
      <c r="AAP16" s="801"/>
      <c r="AAQ16" s="801"/>
      <c r="AAR16" s="1235">
        <f t="shared" si="204"/>
        <v>0</v>
      </c>
      <c r="AAS16" s="783">
        <f t="shared" si="204"/>
        <v>0</v>
      </c>
      <c r="AAT16" s="783"/>
      <c r="AAU16" s="783"/>
      <c r="AAV16" s="1246">
        <f>'Проверочная  таблица'!AAN16+'Проверочная  таблица'!AAP16</f>
        <v>0</v>
      </c>
      <c r="AAW16" s="1246">
        <f>'Проверочная  таблица'!AAO16+'Проверочная  таблица'!AAQ16</f>
        <v>0</v>
      </c>
    </row>
    <row r="17" spans="1:725" ht="24" customHeight="1" x14ac:dyDescent="0.25">
      <c r="A17" s="784" t="s">
        <v>1305</v>
      </c>
      <c r="B17" s="801">
        <f>D17+AN17+'Проверочная  таблица'!VJ17+'Проверочная  таблица'!WR17</f>
        <v>2557447883.6300006</v>
      </c>
      <c r="C17" s="957">
        <f>E17+'Проверочная  таблица'!VM17+AO17+'Проверочная  таблица'!WS17</f>
        <v>994538910.56999993</v>
      </c>
      <c r="D17" s="1234">
        <f t="shared" si="0"/>
        <v>198134707.40000001</v>
      </c>
      <c r="E17" s="801">
        <f t="shared" si="1"/>
        <v>101480726.5</v>
      </c>
      <c r="F17" s="1238">
        <f>'[1]Дотация  из  ОБ_факт'!M9</f>
        <v>32146566</v>
      </c>
      <c r="G17" s="1247">
        <v>16069023</v>
      </c>
      <c r="H17" s="1238">
        <f>'[1]Дотация  из  ОБ_факт'!G9</f>
        <v>125442757.40000001</v>
      </c>
      <c r="I17" s="1247">
        <v>63477758</v>
      </c>
      <c r="J17" s="1248">
        <f t="shared" si="2"/>
        <v>47765608.400000006</v>
      </c>
      <c r="K17" s="1249">
        <f t="shared" si="2"/>
        <v>24477758</v>
      </c>
      <c r="L17" s="1248">
        <f>'[1]Дотация  из  ОБ_факт'!K9</f>
        <v>77677149</v>
      </c>
      <c r="M17" s="785">
        <v>39000000</v>
      </c>
      <c r="N17" s="1238">
        <f>'[1]Дотация  из  ОБ_факт'!Q9</f>
        <v>0</v>
      </c>
      <c r="O17" s="1247"/>
      <c r="P17" s="1238">
        <f>'[1]Дотация  из  ОБ_факт'!S9</f>
        <v>36347584</v>
      </c>
      <c r="Q17" s="1247">
        <v>19033945.5</v>
      </c>
      <c r="R17" s="1248">
        <f t="shared" si="3"/>
        <v>25457794</v>
      </c>
      <c r="S17" s="1249">
        <f t="shared" si="3"/>
        <v>13561945.5</v>
      </c>
      <c r="T17" s="1248">
        <f>'[1]Дотация  из  ОБ_факт'!W9</f>
        <v>10889790</v>
      </c>
      <c r="U17" s="785">
        <v>5472000</v>
      </c>
      <c r="V17" s="790">
        <f t="shared" si="4"/>
        <v>2900000</v>
      </c>
      <c r="W17" s="1250">
        <f>'[1]Дотация  из  ОБ_факт'!AA9</f>
        <v>1200000</v>
      </c>
      <c r="X17" s="1251">
        <f>'[1]Дотация  из  ОБ_факт'!AC9</f>
        <v>1700000</v>
      </c>
      <c r="Y17" s="1251">
        <f>'[1]Дотация  из  ОБ_факт'!AG9</f>
        <v>0</v>
      </c>
      <c r="Z17" s="791">
        <f t="shared" si="5"/>
        <v>2900000</v>
      </c>
      <c r="AA17" s="751">
        <f t="shared" si="180"/>
        <v>1200000</v>
      </c>
      <c r="AB17" s="751">
        <f t="shared" si="180"/>
        <v>1700000</v>
      </c>
      <c r="AC17" s="786"/>
      <c r="AD17" s="790">
        <f t="shared" si="6"/>
        <v>1297800</v>
      </c>
      <c r="AE17" s="1250">
        <f>'[1]Дотация  из  ОБ_факт'!Y9</f>
        <v>397800</v>
      </c>
      <c r="AF17" s="1251">
        <f>'[1]Дотация  из  ОБ_факт'!AE9</f>
        <v>900000</v>
      </c>
      <c r="AG17" s="790">
        <f t="shared" si="7"/>
        <v>0</v>
      </c>
      <c r="AH17" s="787"/>
      <c r="AI17" s="786"/>
      <c r="AJ17" s="1248">
        <f t="shared" si="8"/>
        <v>397800</v>
      </c>
      <c r="AK17" s="1249">
        <f t="shared" si="9"/>
        <v>0</v>
      </c>
      <c r="AL17" s="1248">
        <f>'[1]Дотация  из  ОБ_факт'!AE9</f>
        <v>900000</v>
      </c>
      <c r="AM17" s="788"/>
      <c r="AN17" s="919">
        <f>'Проверочная  таблица'!VB17+'Проверочная  таблица'!VD17+BT17+BV17+CH17+CJ17+BH17+BL17+'Проверочная  таблица'!NB17+'Проверочная  таблица'!NR17+'Проверочная  таблица'!EB17+'Проверочная  таблица'!OJ17+DT17+'Проверочная  таблица'!JR17+'Проверочная  таблица'!JX17+'Проверочная  таблица'!OR17+'Проверочная  таблица'!OZ17+JL17+AP17+AV17+FB17+FH17+CV17+SX17+EH17+TL17+QH17+EN17+EV17+LV17+MD17+SR17+GV17+SD17+RF17+KP17+KZ17+RL17+SJ17+CP17+QZ17+HL17+GF17+HR17+HX17+FZ17+DJ17+PX17+CB17+IP17+JF17+HD17+GL17+IV17</f>
        <v>1163929682.8700001</v>
      </c>
      <c r="AO17" s="920">
        <f>'Проверочная  таблица'!VC17+'Проверочная  таблица'!VE17+BU17+BW17+CI17+CK17+BJ17+BN17+'Проверочная  таблица'!NJ17+'Проверочная  таблица'!NU17+'Проверочная  таблица'!EE17+'Проверочная  таблица'!ON17+DX17+'Проверочная  таблица'!JU17+'Проверочная  таблица'!KA17+'Проверочная  таблица'!OV17+'Проверочная  таблица'!PD17+JO17+AS17+AX17+FE17+FK17+DC17+TE17+EK17+TS17+QK17+ER17+EY17+LZ17+MH17+SU17+GZ17+SG17+RI17+KU17+LE17+RO17+SN17+CS17+RC17+HO17+GI17+HU17+IA17+GC17+DM17+QC17+CE17+IS17+JI17+HF17+GO17+IY17</f>
        <v>224819182.64999998</v>
      </c>
      <c r="AP17" s="957">
        <f t="shared" si="10"/>
        <v>49290000</v>
      </c>
      <c r="AQ17" s="789">
        <f>[1]Субсидия_факт!HV11</f>
        <v>49290000</v>
      </c>
      <c r="AR17" s="770">
        <f>[1]Субсидия_факт!MR11</f>
        <v>0</v>
      </c>
      <c r="AS17" s="957">
        <f t="shared" si="11"/>
        <v>20610792.289999999</v>
      </c>
      <c r="AT17" s="770">
        <v>20610792.289999999</v>
      </c>
      <c r="AU17" s="789"/>
      <c r="AV17" s="910">
        <f t="shared" si="12"/>
        <v>64600000</v>
      </c>
      <c r="AW17" s="770">
        <f>[1]Субсидия_факт!MV11</f>
        <v>64600000</v>
      </c>
      <c r="AX17" s="1224">
        <f t="shared" si="13"/>
        <v>0</v>
      </c>
      <c r="AY17" s="770"/>
      <c r="AZ17" s="1225">
        <f t="shared" si="14"/>
        <v>64600000</v>
      </c>
      <c r="BA17" s="770">
        <f t="shared" si="15"/>
        <v>64600000</v>
      </c>
      <c r="BB17" s="783">
        <f t="shared" si="16"/>
        <v>0</v>
      </c>
      <c r="BC17" s="789">
        <f t="shared" si="17"/>
        <v>0</v>
      </c>
      <c r="BD17" s="782">
        <f t="shared" si="18"/>
        <v>0</v>
      </c>
      <c r="BE17" s="770">
        <f>[1]Субсидия_факт!MX11</f>
        <v>0</v>
      </c>
      <c r="BF17" s="802">
        <f t="shared" si="19"/>
        <v>0</v>
      </c>
      <c r="BG17" s="770"/>
      <c r="BH17" s="801">
        <f t="shared" si="20"/>
        <v>0</v>
      </c>
      <c r="BI17" s="770">
        <f>[1]Субсидия_факт!KZ11</f>
        <v>0</v>
      </c>
      <c r="BJ17" s="957">
        <f t="shared" si="21"/>
        <v>0</v>
      </c>
      <c r="BK17" s="770"/>
      <c r="BL17" s="801">
        <f t="shared" si="22"/>
        <v>0</v>
      </c>
      <c r="BM17" s="770">
        <f>[1]Субсидия_факт!LB11</f>
        <v>0</v>
      </c>
      <c r="BN17" s="957">
        <f t="shared" si="23"/>
        <v>0</v>
      </c>
      <c r="BO17" s="770"/>
      <c r="BP17" s="1235">
        <f t="shared" si="24"/>
        <v>0</v>
      </c>
      <c r="BQ17" s="783">
        <f t="shared" si="25"/>
        <v>0</v>
      </c>
      <c r="BR17" s="1252">
        <f t="shared" si="26"/>
        <v>0</v>
      </c>
      <c r="BS17" s="1235">
        <f t="shared" si="27"/>
        <v>0</v>
      </c>
      <c r="BT17" s="801">
        <f>[1]Субсидия_факт!GV11</f>
        <v>0</v>
      </c>
      <c r="BU17" s="790"/>
      <c r="BV17" s="1253">
        <f>[1]Субсидия_факт!GX11</f>
        <v>0</v>
      </c>
      <c r="BW17" s="791"/>
      <c r="BX17" s="1252">
        <f t="shared" si="28"/>
        <v>0</v>
      </c>
      <c r="BY17" s="1235">
        <f t="shared" si="28"/>
        <v>0</v>
      </c>
      <c r="BZ17" s="783">
        <f>[1]Субсидия_факт!GZ11</f>
        <v>0</v>
      </c>
      <c r="CA17" s="785"/>
      <c r="CB17" s="801">
        <f t="shared" si="29"/>
        <v>56538000</v>
      </c>
      <c r="CC17" s="766">
        <f>[1]Субсидия_факт!HL11</f>
        <v>49290000</v>
      </c>
      <c r="CD17" s="770">
        <f>[1]Субсидия_факт!HN11</f>
        <v>7248000</v>
      </c>
      <c r="CE17" s="957">
        <f t="shared" si="30"/>
        <v>0</v>
      </c>
      <c r="CF17" s="770"/>
      <c r="CG17" s="770"/>
      <c r="CH17" s="957">
        <f>[1]Субсидия_факт!HB11</f>
        <v>0</v>
      </c>
      <c r="CI17" s="792"/>
      <c r="CJ17" s="957">
        <f>[1]Субсидия_факт!HD11</f>
        <v>0</v>
      </c>
      <c r="CK17" s="791"/>
      <c r="CL17" s="1226">
        <f t="shared" si="31"/>
        <v>0</v>
      </c>
      <c r="CM17" s="782">
        <f t="shared" si="31"/>
        <v>0</v>
      </c>
      <c r="CN17" s="1225">
        <f>[1]Субсидия_факт!HF11</f>
        <v>0</v>
      </c>
      <c r="CO17" s="753"/>
      <c r="CP17" s="801">
        <f t="shared" si="32"/>
        <v>117311223.18000001</v>
      </c>
      <c r="CQ17" s="766">
        <f>[1]Субсидия_факт!HP11</f>
        <v>113376690</v>
      </c>
      <c r="CR17" s="770">
        <f>[1]Субсидия_факт!HR11</f>
        <v>3934533.18</v>
      </c>
      <c r="CS17" s="957">
        <f t="shared" si="33"/>
        <v>0</v>
      </c>
      <c r="CT17" s="770"/>
      <c r="CU17" s="770"/>
      <c r="CV17" s="910">
        <f t="shared" si="34"/>
        <v>0</v>
      </c>
      <c r="CW17" s="763">
        <f>[1]Субсидия_факт!LR11</f>
        <v>0</v>
      </c>
      <c r="CX17" s="762">
        <f>[1]Субсидия_факт!LT11</f>
        <v>0</v>
      </c>
      <c r="CY17" s="754">
        <f>[1]Субсидия_факт!LV11</f>
        <v>0</v>
      </c>
      <c r="CZ17" s="762">
        <f>[1]Субсидия_факт!MB11</f>
        <v>0</v>
      </c>
      <c r="DA17" s="754">
        <f>[1]Субсидия_факт!MH11</f>
        <v>0</v>
      </c>
      <c r="DB17" s="762">
        <f>[1]Субсидия_факт!MJ11</f>
        <v>0</v>
      </c>
      <c r="DC17" s="910">
        <f t="shared" si="35"/>
        <v>0</v>
      </c>
      <c r="DD17" s="755"/>
      <c r="DE17" s="762"/>
      <c r="DF17" s="754"/>
      <c r="DG17" s="762"/>
      <c r="DH17" s="754"/>
      <c r="DI17" s="762"/>
      <c r="DJ17" s="920">
        <f t="shared" ref="DJ17:DJ30" si="205">SUM(DK17:DL17)</f>
        <v>0</v>
      </c>
      <c r="DK17" s="763">
        <f>[1]Субсидия_факт!LX11</f>
        <v>0</v>
      </c>
      <c r="DL17" s="762">
        <f>[1]Субсидия_факт!MD11</f>
        <v>0</v>
      </c>
      <c r="DM17" s="910">
        <f t="shared" si="37"/>
        <v>0</v>
      </c>
      <c r="DN17" s="763"/>
      <c r="DO17" s="764"/>
      <c r="DP17" s="1226">
        <f t="shared" ref="DP17:DP30" si="206">DJ17-DR17</f>
        <v>0</v>
      </c>
      <c r="DQ17" s="782">
        <f t="shared" ref="DQ17:DQ30" si="207">DM17-DS17</f>
        <v>0</v>
      </c>
      <c r="DR17" s="1225">
        <f t="shared" ref="DR17:DR30" si="208">DJ17</f>
        <v>0</v>
      </c>
      <c r="DS17" s="753">
        <f t="shared" ref="DS17:DS30" si="209">DM17</f>
        <v>0</v>
      </c>
      <c r="DT17" s="957">
        <f t="shared" ref="DT17:DT30" si="210">SUM(DU17:DW17)</f>
        <v>0</v>
      </c>
      <c r="DU17" s="789">
        <f>[1]Субсидия_факт!R11</f>
        <v>0</v>
      </c>
      <c r="DV17" s="766">
        <f>[1]Субсидия_факт!T11</f>
        <v>0</v>
      </c>
      <c r="DW17" s="770">
        <f>[1]Субсидия_факт!V11</f>
        <v>0</v>
      </c>
      <c r="DX17" s="957">
        <f t="shared" ref="DX17:DX30" si="211">SUM(DY17:EA17)</f>
        <v>0</v>
      </c>
      <c r="DY17" s="770"/>
      <c r="DZ17" s="770"/>
      <c r="EA17" s="770"/>
      <c r="EB17" s="801">
        <f t="shared" si="38"/>
        <v>3148842.11</v>
      </c>
      <c r="EC17" s="766">
        <f>[1]Субсидия_факт!AX11</f>
        <v>157442.10999999987</v>
      </c>
      <c r="ED17" s="767">
        <f>[1]Субсидия_факт!AZ11</f>
        <v>2991400</v>
      </c>
      <c r="EE17" s="957">
        <f t="shared" si="39"/>
        <v>0</v>
      </c>
      <c r="EF17" s="789"/>
      <c r="EG17" s="793"/>
      <c r="EH17" s="801">
        <f t="shared" si="40"/>
        <v>0</v>
      </c>
      <c r="EI17" s="766">
        <f>[1]Субсидия_факт!X11</f>
        <v>0</v>
      </c>
      <c r="EJ17" s="767">
        <f>[1]Субсидия_факт!Z11</f>
        <v>0</v>
      </c>
      <c r="EK17" s="957">
        <f t="shared" si="41"/>
        <v>0</v>
      </c>
      <c r="EL17" s="766"/>
      <c r="EM17" s="767"/>
      <c r="EN17" s="920">
        <f t="shared" ref="EN17:EN30" si="212">SUM(EO17:EQ17)</f>
        <v>0</v>
      </c>
      <c r="EO17" s="763">
        <f>[1]Субсидия_факт!AP11</f>
        <v>0</v>
      </c>
      <c r="EP17" s="763">
        <f>[1]Субсидия_факт!AL11</f>
        <v>0</v>
      </c>
      <c r="EQ17" s="764">
        <f>[1]Субсидия_факт!AN11</f>
        <v>0</v>
      </c>
      <c r="ER17" s="920">
        <f t="shared" si="42"/>
        <v>0</v>
      </c>
      <c r="ES17" s="763"/>
      <c r="ET17" s="763"/>
      <c r="EU17" s="764"/>
      <c r="EV17" s="920">
        <f t="shared" si="43"/>
        <v>0</v>
      </c>
      <c r="EW17" s="763">
        <f>[1]Субсидия_факт!HH11</f>
        <v>0</v>
      </c>
      <c r="EX17" s="762">
        <f>[1]Субсидия_факт!HJ11</f>
        <v>0</v>
      </c>
      <c r="EY17" s="910">
        <f t="shared" si="44"/>
        <v>0</v>
      </c>
      <c r="EZ17" s="763"/>
      <c r="FA17" s="762"/>
      <c r="FB17" s="920">
        <f t="shared" si="45"/>
        <v>0</v>
      </c>
      <c r="FC17" s="766">
        <f>[1]Субсидия_факт!PK11</f>
        <v>0</v>
      </c>
      <c r="FD17" s="767">
        <f>[1]Субсидия_факт!PQ11</f>
        <v>0</v>
      </c>
      <c r="FE17" s="910">
        <f t="shared" si="46"/>
        <v>0</v>
      </c>
      <c r="FF17" s="763"/>
      <c r="FG17" s="764"/>
      <c r="FH17" s="920">
        <f t="shared" si="47"/>
        <v>0</v>
      </c>
      <c r="FI17" s="763">
        <f>[1]Субсидия_факт!PM11</f>
        <v>0</v>
      </c>
      <c r="FJ17" s="762">
        <f>[1]Субсидия_факт!PS11</f>
        <v>0</v>
      </c>
      <c r="FK17" s="910">
        <f t="shared" si="48"/>
        <v>0</v>
      </c>
      <c r="FL17" s="763"/>
      <c r="FM17" s="764"/>
      <c r="FN17" s="1233">
        <f t="shared" si="49"/>
        <v>0</v>
      </c>
      <c r="FO17" s="763">
        <f t="shared" si="50"/>
        <v>0</v>
      </c>
      <c r="FP17" s="762">
        <f t="shared" si="50"/>
        <v>0</v>
      </c>
      <c r="FQ17" s="782">
        <f t="shared" si="51"/>
        <v>0</v>
      </c>
      <c r="FR17" s="763">
        <f t="shared" si="52"/>
        <v>0</v>
      </c>
      <c r="FS17" s="762">
        <f t="shared" si="52"/>
        <v>0</v>
      </c>
      <c r="FT17" s="1233">
        <f t="shared" si="53"/>
        <v>0</v>
      </c>
      <c r="FU17" s="763">
        <f>[1]Субсидия_факт!PO11</f>
        <v>0</v>
      </c>
      <c r="FV17" s="762">
        <f>[1]Субсидия_факт!PU11</f>
        <v>0</v>
      </c>
      <c r="FW17" s="782">
        <f t="shared" si="54"/>
        <v>0</v>
      </c>
      <c r="FX17" s="763"/>
      <c r="FY17" s="764"/>
      <c r="FZ17" s="920">
        <f t="shared" si="55"/>
        <v>0</v>
      </c>
      <c r="GA17" s="766">
        <f>[1]Субсидия_факт!EP11</f>
        <v>0</v>
      </c>
      <c r="GB17" s="767">
        <f>[1]Субсидия_факт!ER11</f>
        <v>0</v>
      </c>
      <c r="GC17" s="1234">
        <f t="shared" si="56"/>
        <v>0</v>
      </c>
      <c r="GD17" s="766"/>
      <c r="GE17" s="767"/>
      <c r="GF17" s="801">
        <f t="shared" si="57"/>
        <v>0</v>
      </c>
      <c r="GG17" s="766">
        <f>[1]Субсидия_факт!JN11</f>
        <v>0</v>
      </c>
      <c r="GH17" s="767">
        <f>[1]Субсидия_факт!JP11</f>
        <v>0</v>
      </c>
      <c r="GI17" s="801">
        <f t="shared" si="58"/>
        <v>0</v>
      </c>
      <c r="GJ17" s="766"/>
      <c r="GK17" s="767"/>
      <c r="GL17" s="1235">
        <f t="shared" si="59"/>
        <v>0</v>
      </c>
      <c r="GM17" s="763">
        <f>[1]Субсидия_факт!JR11</f>
        <v>0</v>
      </c>
      <c r="GN17" s="764">
        <f>[1]Субсидия_факт!JV11</f>
        <v>0</v>
      </c>
      <c r="GO17" s="1235">
        <f t="shared" si="60"/>
        <v>0</v>
      </c>
      <c r="GP17" s="766"/>
      <c r="GQ17" s="793"/>
      <c r="GR17" s="1235">
        <f t="shared" ref="GR17:GR30" si="213">GL17-GT17</f>
        <v>0</v>
      </c>
      <c r="GS17" s="783">
        <f t="shared" ref="GS17:GS30" si="214">GO17-GU17</f>
        <v>0</v>
      </c>
      <c r="GT17" s="1252">
        <f t="shared" ref="GT17:GT30" si="215">GL17</f>
        <v>0</v>
      </c>
      <c r="GU17" s="783">
        <f t="shared" ref="GU17:GU30" si="216">GO17</f>
        <v>0</v>
      </c>
      <c r="GV17" s="1234">
        <f t="shared" si="61"/>
        <v>0</v>
      </c>
      <c r="GW17" s="766">
        <f>[1]Субсидия_факт!KL11</f>
        <v>0</v>
      </c>
      <c r="GX17" s="767">
        <f>[1]Субсидия_факт!KN11</f>
        <v>0</v>
      </c>
      <c r="GY17" s="766">
        <f>[1]Субсидия_факт!KP11</f>
        <v>0</v>
      </c>
      <c r="GZ17" s="801">
        <f t="shared" si="62"/>
        <v>0</v>
      </c>
      <c r="HA17" s="766"/>
      <c r="HB17" s="767"/>
      <c r="HC17" s="770"/>
      <c r="HD17" s="1235">
        <f t="shared" ref="HD17:HF30" si="217">HE17</f>
        <v>123288200</v>
      </c>
      <c r="HE17" s="766">
        <f>[1]Субсидия_факт!KR11</f>
        <v>123288200</v>
      </c>
      <c r="HF17" s="1235">
        <f t="shared" si="217"/>
        <v>83537191.079999998</v>
      </c>
      <c r="HG17" s="770">
        <v>83537191.079999998</v>
      </c>
      <c r="HH17" s="1235">
        <f t="shared" ref="HH17:HH30" si="218">HD17-HJ17</f>
        <v>0</v>
      </c>
      <c r="HI17" s="1235">
        <f t="shared" ref="HI17:HI30" si="219">HF17-HK17</f>
        <v>0</v>
      </c>
      <c r="HJ17" s="1235">
        <f t="shared" ref="HJ17:HJ30" si="220">HD17</f>
        <v>123288200</v>
      </c>
      <c r="HK17" s="1235">
        <f t="shared" ref="HK17:HK30" si="221">HF17</f>
        <v>83537191.079999998</v>
      </c>
      <c r="HL17" s="801">
        <f t="shared" si="63"/>
        <v>19668962.129999999</v>
      </c>
      <c r="HM17" s="766">
        <f>[1]Субсидия_факт!KV11</f>
        <v>19668962.129999999</v>
      </c>
      <c r="HN17" s="767">
        <f>[1]Субсидия_факт!KX11</f>
        <v>0</v>
      </c>
      <c r="HO17" s="957">
        <f t="shared" si="64"/>
        <v>0</v>
      </c>
      <c r="HP17" s="766"/>
      <c r="HQ17" s="767"/>
      <c r="HR17" s="801">
        <f t="shared" si="65"/>
        <v>0</v>
      </c>
      <c r="HS17" s="766"/>
      <c r="HT17" s="767"/>
      <c r="HU17" s="957">
        <f t="shared" si="66"/>
        <v>0</v>
      </c>
      <c r="HV17" s="766"/>
      <c r="HW17" s="767"/>
      <c r="HX17" s="801">
        <f t="shared" si="67"/>
        <v>93055656.569999993</v>
      </c>
      <c r="HY17" s="766">
        <f>[1]Субсидия_факт!FV11</f>
        <v>930556.57</v>
      </c>
      <c r="HZ17" s="767">
        <f>[1]Субсидия_факт!FZ11</f>
        <v>92125100</v>
      </c>
      <c r="IA17" s="957">
        <f t="shared" si="68"/>
        <v>75163064.959999993</v>
      </c>
      <c r="IB17" s="766">
        <v>751630.66</v>
      </c>
      <c r="IC17" s="767">
        <v>74411434.299999997</v>
      </c>
      <c r="ID17" s="1233">
        <f t="shared" si="69"/>
        <v>0</v>
      </c>
      <c r="IE17" s="763">
        <f t="shared" si="70"/>
        <v>0</v>
      </c>
      <c r="IF17" s="762">
        <f t="shared" si="70"/>
        <v>0</v>
      </c>
      <c r="IG17" s="782">
        <f t="shared" si="71"/>
        <v>0</v>
      </c>
      <c r="IH17" s="763">
        <f t="shared" si="72"/>
        <v>0</v>
      </c>
      <c r="II17" s="762">
        <f t="shared" si="72"/>
        <v>0</v>
      </c>
      <c r="IJ17" s="1233">
        <f t="shared" si="73"/>
        <v>93055656.569999993</v>
      </c>
      <c r="IK17" s="763">
        <f>[1]Субсидия_факт!FX11</f>
        <v>930556.57</v>
      </c>
      <c r="IL17" s="762">
        <f>[1]Субсидия_факт!GB11</f>
        <v>92125100</v>
      </c>
      <c r="IM17" s="782">
        <f t="shared" si="74"/>
        <v>75163064.959999993</v>
      </c>
      <c r="IN17" s="763">
        <f t="shared" si="188"/>
        <v>751630.66</v>
      </c>
      <c r="IO17" s="764">
        <f t="shared" si="189"/>
        <v>74411434.299999997</v>
      </c>
      <c r="IP17" s="801">
        <f t="shared" si="75"/>
        <v>0</v>
      </c>
      <c r="IQ17" s="763">
        <f>[1]Субсидия_факт!ED11</f>
        <v>0</v>
      </c>
      <c r="IR17" s="764">
        <f>[1]Субсидия_факт!EF11</f>
        <v>0</v>
      </c>
      <c r="IS17" s="957">
        <f t="shared" si="76"/>
        <v>0</v>
      </c>
      <c r="IT17" s="766"/>
      <c r="IU17" s="767"/>
      <c r="IV17" s="1259">
        <f t="shared" si="77"/>
        <v>0</v>
      </c>
      <c r="IW17" s="763">
        <f>[1]Субсидия_факт!EH11</f>
        <v>0</v>
      </c>
      <c r="IX17" s="764">
        <f>[1]Субсидия_факт!EL11</f>
        <v>0</v>
      </c>
      <c r="IY17" s="1254">
        <f t="shared" si="78"/>
        <v>0</v>
      </c>
      <c r="IZ17" s="766"/>
      <c r="JA17" s="793"/>
      <c r="JB17" s="1235">
        <f t="shared" ref="JB17:JB30" si="222">IV17-JD17</f>
        <v>0</v>
      </c>
      <c r="JC17" s="1235">
        <f t="shared" ref="JC17:JC30" si="223">IY17-JE17</f>
        <v>0</v>
      </c>
      <c r="JD17" s="1235">
        <f t="shared" ref="JD17:JD30" si="224">IV17</f>
        <v>0</v>
      </c>
      <c r="JE17" s="783">
        <f t="shared" ref="JE17:JE30" si="225">IY17</f>
        <v>0</v>
      </c>
      <c r="JF17" s="1234">
        <f t="shared" si="79"/>
        <v>0</v>
      </c>
      <c r="JG17" s="763">
        <f>[1]Субсидия_факт!BX11</f>
        <v>0</v>
      </c>
      <c r="JH17" s="764">
        <f>[1]Субсидия_факт!BZ11</f>
        <v>0</v>
      </c>
      <c r="JI17" s="957">
        <f t="shared" si="80"/>
        <v>0</v>
      </c>
      <c r="JJ17" s="766"/>
      <c r="JK17" s="767"/>
      <c r="JL17" s="801">
        <f t="shared" si="81"/>
        <v>0</v>
      </c>
      <c r="JM17" s="766">
        <f>[1]Субсидия_факт!ET11</f>
        <v>0</v>
      </c>
      <c r="JN17" s="767">
        <f>[1]Субсидия_факт!EV11</f>
        <v>0</v>
      </c>
      <c r="JO17" s="957">
        <f t="shared" si="82"/>
        <v>0</v>
      </c>
      <c r="JP17" s="766"/>
      <c r="JQ17" s="767"/>
      <c r="JR17" s="910">
        <f t="shared" si="83"/>
        <v>0</v>
      </c>
      <c r="JS17" s="763">
        <f>[1]Субсидия_факт!EX11</f>
        <v>0</v>
      </c>
      <c r="JT17" s="762">
        <f>[1]Субсидия_факт!FD11</f>
        <v>0</v>
      </c>
      <c r="JU17" s="910">
        <f t="shared" si="84"/>
        <v>0</v>
      </c>
      <c r="JV17" s="763"/>
      <c r="JW17" s="764"/>
      <c r="JX17" s="910">
        <f t="shared" si="85"/>
        <v>0</v>
      </c>
      <c r="JY17" s="763">
        <f>[1]Субсидия_факт!EZ11</f>
        <v>0</v>
      </c>
      <c r="JZ17" s="764">
        <f>[1]Субсидия_факт!FF11</f>
        <v>0</v>
      </c>
      <c r="KA17" s="910">
        <f t="shared" si="86"/>
        <v>0</v>
      </c>
      <c r="KB17" s="754"/>
      <c r="KC17" s="768"/>
      <c r="KD17" s="910">
        <f t="shared" si="87"/>
        <v>-241949.2</v>
      </c>
      <c r="KE17" s="755">
        <f>'Проверочная  таблица'!JY17-'Проверочная  таблица'!KK17</f>
        <v>-62906.790000000008</v>
      </c>
      <c r="KF17" s="764">
        <f>'Проверочная  таблица'!JZ17-'Проверочная  таблица'!KL17</f>
        <v>-179042.41</v>
      </c>
      <c r="KG17" s="1225">
        <f t="shared" si="88"/>
        <v>0</v>
      </c>
      <c r="KH17" s="754">
        <f>'Проверочная  таблица'!KB17-'Проверочная  таблица'!KN17</f>
        <v>0</v>
      </c>
      <c r="KI17" s="771">
        <f>'Проверочная  таблица'!KC17-'Проверочная  таблица'!KO17</f>
        <v>0</v>
      </c>
      <c r="KJ17" s="910">
        <f t="shared" si="89"/>
        <v>241949.2</v>
      </c>
      <c r="KK17" s="763">
        <f>[1]Субсидия_факт!FB11</f>
        <v>62906.790000000008</v>
      </c>
      <c r="KL17" s="762">
        <f>[1]Субсидия_факт!FH11</f>
        <v>179042.41</v>
      </c>
      <c r="KM17" s="782">
        <f t="shared" si="90"/>
        <v>0</v>
      </c>
      <c r="KN17" s="763"/>
      <c r="KO17" s="764"/>
      <c r="KP17" s="1217">
        <f t="shared" ref="KP17:KP30" si="226">SUM(KQ17:KT17)</f>
        <v>5122009.47</v>
      </c>
      <c r="KQ17" s="754">
        <f>[1]Субсидия_факт!OD11</f>
        <v>2073510.6099999999</v>
      </c>
      <c r="KR17" s="764">
        <f>[1]Субсидия_факт!OJ11</f>
        <v>462418.86</v>
      </c>
      <c r="KS17" s="754">
        <f>[1]Субсидия_факт!OR11</f>
        <v>940163.4</v>
      </c>
      <c r="KT17" s="764">
        <f>[1]Субсидия_факт!OT11</f>
        <v>1645916.6</v>
      </c>
      <c r="KU17" s="1217">
        <f t="shared" si="91"/>
        <v>0</v>
      </c>
      <c r="KV17" s="754"/>
      <c r="KW17" s="764"/>
      <c r="KX17" s="754"/>
      <c r="KY17" s="764"/>
      <c r="KZ17" s="1217">
        <f t="shared" ref="KZ17:KZ30" si="227">SUM(LA17:LD17)</f>
        <v>935850</v>
      </c>
      <c r="LA17" s="789">
        <f>[1]Субсидия_факт!OF11</f>
        <v>935850</v>
      </c>
      <c r="LB17" s="767">
        <f>[1]Субсидия_факт!OL11</f>
        <v>0</v>
      </c>
      <c r="LC17" s="789"/>
      <c r="LD17" s="767"/>
      <c r="LE17" s="1217">
        <f t="shared" si="92"/>
        <v>0</v>
      </c>
      <c r="LF17" s="754"/>
      <c r="LG17" s="764"/>
      <c r="LH17" s="754"/>
      <c r="LI17" s="764"/>
      <c r="LJ17" s="1219">
        <f t="shared" si="93"/>
        <v>-714380</v>
      </c>
      <c r="LK17" s="789">
        <f t="shared" si="94"/>
        <v>-714380</v>
      </c>
      <c r="LL17" s="767">
        <f t="shared" si="94"/>
        <v>0</v>
      </c>
      <c r="LM17" s="1219">
        <f t="shared" si="95"/>
        <v>0</v>
      </c>
      <c r="LN17" s="789">
        <f t="shared" si="96"/>
        <v>0</v>
      </c>
      <c r="LO17" s="767">
        <f t="shared" si="96"/>
        <v>0</v>
      </c>
      <c r="LP17" s="1219">
        <f t="shared" si="97"/>
        <v>1650230</v>
      </c>
      <c r="LQ17" s="763">
        <f>[1]Субсидия_факт!OH11</f>
        <v>1650230</v>
      </c>
      <c r="LR17" s="762">
        <f>[1]Субсидия_факт!ON11</f>
        <v>0</v>
      </c>
      <c r="LS17" s="1219">
        <f t="shared" si="98"/>
        <v>0</v>
      </c>
      <c r="LT17" s="755"/>
      <c r="LU17" s="764"/>
      <c r="LV17" s="957">
        <f t="shared" ref="LV17:LV30" si="228">SUM(LW17:LY17)</f>
        <v>0</v>
      </c>
      <c r="LW17" s="769">
        <f>[1]Субсидия_факт!DP11</f>
        <v>0</v>
      </c>
      <c r="LX17" s="754">
        <f>[1]Субсидия_факт!CB11</f>
        <v>0</v>
      </c>
      <c r="LY17" s="764">
        <f>[1]Субсидия_факт!CH11</f>
        <v>0</v>
      </c>
      <c r="LZ17" s="957">
        <f t="shared" si="99"/>
        <v>0</v>
      </c>
      <c r="MA17" s="769"/>
      <c r="MB17" s="754"/>
      <c r="MC17" s="764"/>
      <c r="MD17" s="957">
        <f t="shared" ref="MD17:MD30" si="229">SUM(ME17:MG17)</f>
        <v>0</v>
      </c>
      <c r="ME17" s="769">
        <f>[1]Субсидия_факт!DR11</f>
        <v>0</v>
      </c>
      <c r="MF17" s="754">
        <f>[1]Субсидия_факт!CD11</f>
        <v>0</v>
      </c>
      <c r="MG17" s="764">
        <f>[1]Субсидия_факт!CJ11</f>
        <v>0</v>
      </c>
      <c r="MH17" s="957">
        <f t="shared" si="100"/>
        <v>0</v>
      </c>
      <c r="MI17" s="769"/>
      <c r="MJ17" s="754"/>
      <c r="MK17" s="762"/>
      <c r="ML17" s="783">
        <f t="shared" si="101"/>
        <v>0</v>
      </c>
      <c r="MM17" s="766">
        <f>'Проверочная  таблица'!ME17-MU17</f>
        <v>0</v>
      </c>
      <c r="MN17" s="766">
        <f>'Проверочная  таблица'!MF17-MV17</f>
        <v>0</v>
      </c>
      <c r="MO17" s="767">
        <f>'Проверочная  таблица'!MG17-MW17</f>
        <v>0</v>
      </c>
      <c r="MP17" s="783">
        <f t="shared" si="102"/>
        <v>0</v>
      </c>
      <c r="MQ17" s="766">
        <f>'Проверочная  таблица'!MI17-MY17</f>
        <v>0</v>
      </c>
      <c r="MR17" s="766">
        <f>'Проверочная  таблица'!MJ17-MZ17</f>
        <v>0</v>
      </c>
      <c r="MS17" s="767">
        <f>'Проверочная  таблица'!MK17-NA17</f>
        <v>0</v>
      </c>
      <c r="MT17" s="783">
        <f t="shared" si="103"/>
        <v>0</v>
      </c>
      <c r="MU17" s="754">
        <f>[1]Субсидия_факт!DT11</f>
        <v>0</v>
      </c>
      <c r="MV17" s="754">
        <f>[1]Субсидия_факт!CF11</f>
        <v>0</v>
      </c>
      <c r="MW17" s="764">
        <f>[1]Субсидия_факт!CL11</f>
        <v>0</v>
      </c>
      <c r="MX17" s="783">
        <f t="shared" si="104"/>
        <v>0</v>
      </c>
      <c r="MY17" s="754"/>
      <c r="MZ17" s="754"/>
      <c r="NA17" s="764"/>
      <c r="NB17" s="1224">
        <f t="shared" ref="NB17:NB30" si="230">SUM(NC17:NI17)</f>
        <v>241949.2</v>
      </c>
      <c r="NC17" s="754">
        <f>[1]Субсидия_факт!CN11</f>
        <v>0</v>
      </c>
      <c r="ND17" s="762">
        <f>[1]Субсидия_факт!CP11</f>
        <v>0</v>
      </c>
      <c r="NE17" s="766">
        <f>[1]Субсидия_факт!CR11</f>
        <v>0</v>
      </c>
      <c r="NF17" s="767">
        <f>[1]Субсидия_факт!CT11</f>
        <v>0</v>
      </c>
      <c r="NG17" s="755">
        <f>[1]Субсидия_факт!DV11</f>
        <v>0</v>
      </c>
      <c r="NH17" s="763">
        <f>[1]Субсидия_факт!FJ11</f>
        <v>62906.790000000008</v>
      </c>
      <c r="NI17" s="762">
        <f>[1]Субсидия_факт!FP11</f>
        <v>179042.41</v>
      </c>
      <c r="NJ17" s="910">
        <f t="shared" si="105"/>
        <v>241949.19</v>
      </c>
      <c r="NK17" s="754"/>
      <c r="NL17" s="764"/>
      <c r="NM17" s="770"/>
      <c r="NN17" s="794"/>
      <c r="NO17" s="754"/>
      <c r="NP17" s="754">
        <f>NH17</f>
        <v>62906.790000000008</v>
      </c>
      <c r="NQ17" s="764">
        <v>179042.4</v>
      </c>
      <c r="NR17" s="910">
        <f t="shared" ref="NR17:NR30" si="231">SUM(NS17:NT17)</f>
        <v>92125100</v>
      </c>
      <c r="NS17" s="763">
        <f>[1]Субсидия_факт!FL11</f>
        <v>0</v>
      </c>
      <c r="NT17" s="762">
        <f>[1]Субсидия_факт!FR11</f>
        <v>92125100</v>
      </c>
      <c r="NU17" s="910">
        <f t="shared" si="106"/>
        <v>0</v>
      </c>
      <c r="NV17" s="755"/>
      <c r="NW17" s="764"/>
      <c r="NX17" s="782">
        <f t="shared" si="107"/>
        <v>0</v>
      </c>
      <c r="NY17" s="763">
        <f>'Проверочная  таблица'!NS17-OE17</f>
        <v>0</v>
      </c>
      <c r="NZ17" s="764">
        <f>'Проверочная  таблица'!NT17-OF17</f>
        <v>0</v>
      </c>
      <c r="OA17" s="782">
        <f t="shared" si="108"/>
        <v>0</v>
      </c>
      <c r="OB17" s="754">
        <f>'Проверочная  таблица'!NV17-OH17</f>
        <v>0</v>
      </c>
      <c r="OC17" s="771">
        <f>'Проверочная  таблица'!NW17-OI17</f>
        <v>0</v>
      </c>
      <c r="OD17" s="782">
        <f t="shared" ref="OD17:OD30" si="232">SUM(OE17:OF17)</f>
        <v>92125100</v>
      </c>
      <c r="OE17" s="763">
        <f>[1]Субсидия_факт!FN11</f>
        <v>0</v>
      </c>
      <c r="OF17" s="762">
        <f>[1]Субсидия_факт!FT11</f>
        <v>92125100</v>
      </c>
      <c r="OG17" s="782">
        <f t="shared" si="109"/>
        <v>0</v>
      </c>
      <c r="OH17" s="754"/>
      <c r="OI17" s="764"/>
      <c r="OJ17" s="919">
        <f t="shared" ref="OJ17:OJ30" si="233">SUM(OK17:OM17)</f>
        <v>0</v>
      </c>
      <c r="OK17" s="763">
        <f>[1]Субсидия_факт!AR11</f>
        <v>0</v>
      </c>
      <c r="OL17" s="762">
        <f>[1]Субсидия_факт!AT11</f>
        <v>0</v>
      </c>
      <c r="OM17" s="763">
        <f>[1]Субсидия_факт!AV11</f>
        <v>0</v>
      </c>
      <c r="ON17" s="957">
        <f t="shared" si="110"/>
        <v>0</v>
      </c>
      <c r="OO17" s="770"/>
      <c r="OP17" s="767"/>
      <c r="OQ17" s="770"/>
      <c r="OR17" s="1238">
        <f t="shared" si="111"/>
        <v>26000000</v>
      </c>
      <c r="OS17" s="763">
        <f>[1]Субсидия_факт!GD11</f>
        <v>26000000</v>
      </c>
      <c r="OT17" s="762">
        <f>[1]Субсидия_факт!GJ11</f>
        <v>0</v>
      </c>
      <c r="OU17" s="770">
        <f>[1]Субсидия_факт!GP11</f>
        <v>0</v>
      </c>
      <c r="OV17" s="1238">
        <f t="shared" si="112"/>
        <v>0</v>
      </c>
      <c r="OW17" s="755"/>
      <c r="OX17" s="764"/>
      <c r="OY17" s="754"/>
      <c r="OZ17" s="1217">
        <f t="shared" ref="OZ17:OZ30" si="234">SUM(PA17:PC17)</f>
        <v>27368421.399999999</v>
      </c>
      <c r="PA17" s="763">
        <f>[1]Субсидия_факт!GF11</f>
        <v>1368421.3999999985</v>
      </c>
      <c r="PB17" s="762">
        <f>[1]Субсидия_факт!GL11</f>
        <v>26000000</v>
      </c>
      <c r="PC17" s="754">
        <f>[1]Субсидия_факт!GR11</f>
        <v>0</v>
      </c>
      <c r="PD17" s="1217">
        <f t="shared" si="113"/>
        <v>23203695.379999999</v>
      </c>
      <c r="PE17" s="754">
        <v>1160185.05</v>
      </c>
      <c r="PF17" s="771">
        <v>22043510.329999998</v>
      </c>
      <c r="PG17" s="754"/>
      <c r="PH17" s="1219">
        <f t="shared" si="114"/>
        <v>0</v>
      </c>
      <c r="PI17" s="789">
        <f>'Проверочная  таблица'!PA17-PQ17</f>
        <v>0</v>
      </c>
      <c r="PJ17" s="767">
        <f>'Проверочная  таблица'!PB17-PR17</f>
        <v>0</v>
      </c>
      <c r="PK17" s="770">
        <f>'Проверочная  таблица'!PC17-PS17</f>
        <v>0</v>
      </c>
      <c r="PL17" s="1219">
        <f t="shared" ref="PL17:PL30" si="235">SUM(PM17:PO17)</f>
        <v>0</v>
      </c>
      <c r="PM17" s="755">
        <f>'Проверочная  таблица'!PE17-PU17</f>
        <v>0</v>
      </c>
      <c r="PN17" s="764">
        <f>'Проверочная  таблица'!PF17-PV17</f>
        <v>0</v>
      </c>
      <c r="PO17" s="754">
        <f>'Проверочная  таблица'!PG17-PW17</f>
        <v>0</v>
      </c>
      <c r="PP17" s="1219">
        <f t="shared" si="115"/>
        <v>27368421.399999999</v>
      </c>
      <c r="PQ17" s="763">
        <f>[1]Субсидия_факт!GH11</f>
        <v>1368421.3999999985</v>
      </c>
      <c r="PR17" s="762">
        <f>[1]Субсидия_факт!GN11</f>
        <v>26000000</v>
      </c>
      <c r="PS17" s="763">
        <f>[1]Субсидия_факт!GT11</f>
        <v>0</v>
      </c>
      <c r="PT17" s="1219">
        <f t="shared" si="116"/>
        <v>23203695.379999999</v>
      </c>
      <c r="PU17" s="755">
        <f t="shared" si="193"/>
        <v>1160185.05</v>
      </c>
      <c r="PV17" s="764">
        <f t="shared" si="194"/>
        <v>22043510.329999998</v>
      </c>
      <c r="PW17" s="763"/>
      <c r="PX17" s="910">
        <f t="shared" si="195"/>
        <v>0</v>
      </c>
      <c r="PY17" s="766">
        <f>[1]Субсидия_факт!JB11</f>
        <v>0</v>
      </c>
      <c r="PZ17" s="767">
        <f>[1]Субсидия_факт!JH11</f>
        <v>0</v>
      </c>
      <c r="QA17" s="766"/>
      <c r="QB17" s="767"/>
      <c r="QC17" s="910">
        <f t="shared" si="196"/>
        <v>0</v>
      </c>
      <c r="QD17" s="770"/>
      <c r="QE17" s="794"/>
      <c r="QF17" s="770"/>
      <c r="QG17" s="794"/>
      <c r="QH17" s="957">
        <f t="shared" si="117"/>
        <v>1358449.09</v>
      </c>
      <c r="QI17" s="766">
        <f>[1]Субсидия_факт!JD11</f>
        <v>67922.45</v>
      </c>
      <c r="QJ17" s="767">
        <f>[1]Субсидия_факт!JJ11</f>
        <v>1290526.6400000001</v>
      </c>
      <c r="QK17" s="1253">
        <f t="shared" si="118"/>
        <v>0</v>
      </c>
      <c r="QL17" s="770"/>
      <c r="QM17" s="794"/>
      <c r="QN17" s="783">
        <f t="shared" ref="QN17:QN30" si="236">SUM(QO17:QP17)</f>
        <v>1358449.09</v>
      </c>
      <c r="QO17" s="770">
        <f t="shared" si="119"/>
        <v>67922.45</v>
      </c>
      <c r="QP17" s="767">
        <f t="shared" si="119"/>
        <v>1290526.6400000001</v>
      </c>
      <c r="QQ17" s="1235">
        <f t="shared" si="120"/>
        <v>0</v>
      </c>
      <c r="QR17" s="766">
        <f t="shared" si="121"/>
        <v>0</v>
      </c>
      <c r="QS17" s="767">
        <f t="shared" si="121"/>
        <v>0</v>
      </c>
      <c r="QT17" s="1235">
        <f t="shared" si="122"/>
        <v>0</v>
      </c>
      <c r="QU17" s="766">
        <f>[1]Субсидия_факт!JF11</f>
        <v>0</v>
      </c>
      <c r="QV17" s="767">
        <f>[1]Субсидия_факт!JL11</f>
        <v>0</v>
      </c>
      <c r="QW17" s="1257">
        <f t="shared" ref="QW17:QW30" si="237">SUM(QX17:QY17)</f>
        <v>0</v>
      </c>
      <c r="QX17" s="770"/>
      <c r="QY17" s="794"/>
      <c r="QZ17" s="801">
        <f t="shared" si="123"/>
        <v>0</v>
      </c>
      <c r="RA17" s="766">
        <f>[1]Субсидия_факт!CV11</f>
        <v>0</v>
      </c>
      <c r="RB17" s="767">
        <f>[1]Субсидия_факт!CX11</f>
        <v>0</v>
      </c>
      <c r="RC17" s="957">
        <f t="shared" si="124"/>
        <v>0</v>
      </c>
      <c r="RD17" s="766"/>
      <c r="RE17" s="767"/>
      <c r="RF17" s="801">
        <f t="shared" si="125"/>
        <v>0</v>
      </c>
      <c r="RG17" s="766">
        <f>[1]Субсидия_факт!CZ11</f>
        <v>0</v>
      </c>
      <c r="RH17" s="767">
        <f>[1]Субсидия_факт!DF11</f>
        <v>0</v>
      </c>
      <c r="RI17" s="957">
        <f t="shared" si="126"/>
        <v>0</v>
      </c>
      <c r="RJ17" s="766"/>
      <c r="RK17" s="767"/>
      <c r="RL17" s="801">
        <f t="shared" si="127"/>
        <v>0</v>
      </c>
      <c r="RM17" s="766">
        <f>[1]Субсидия_факт!DB11</f>
        <v>0</v>
      </c>
      <c r="RN17" s="767">
        <f>[1]Субсидия_факт!DH11</f>
        <v>0</v>
      </c>
      <c r="RO17" s="957">
        <f t="shared" si="128"/>
        <v>0</v>
      </c>
      <c r="RP17" s="766"/>
      <c r="RQ17" s="767"/>
      <c r="RR17" s="1235">
        <f t="shared" si="129"/>
        <v>0</v>
      </c>
      <c r="RS17" s="766">
        <f t="shared" si="130"/>
        <v>0</v>
      </c>
      <c r="RT17" s="767">
        <f t="shared" si="130"/>
        <v>0</v>
      </c>
      <c r="RU17" s="783">
        <f t="shared" si="131"/>
        <v>0</v>
      </c>
      <c r="RV17" s="766">
        <f t="shared" si="132"/>
        <v>0</v>
      </c>
      <c r="RW17" s="767">
        <f t="shared" si="132"/>
        <v>0</v>
      </c>
      <c r="RX17" s="801">
        <f t="shared" si="133"/>
        <v>0</v>
      </c>
      <c r="RY17" s="766">
        <f>[1]Субсидия_факт!DD11</f>
        <v>0</v>
      </c>
      <c r="RZ17" s="767">
        <f>[1]Субсидия_факт!DJ11</f>
        <v>0</v>
      </c>
      <c r="SA17" s="783">
        <f t="shared" si="134"/>
        <v>0</v>
      </c>
      <c r="SB17" s="766"/>
      <c r="SC17" s="767"/>
      <c r="SD17" s="801">
        <f t="shared" si="135"/>
        <v>0</v>
      </c>
      <c r="SE17" s="766">
        <f>[1]Субсидия_факт!DL11</f>
        <v>0</v>
      </c>
      <c r="SF17" s="767">
        <f>[1]Субсидия_факт!DN11</f>
        <v>0</v>
      </c>
      <c r="SG17" s="1253">
        <f t="shared" si="136"/>
        <v>0</v>
      </c>
      <c r="SH17" s="789"/>
      <c r="SI17" s="793"/>
      <c r="SJ17" s="957">
        <f t="shared" ref="SJ17:SJ30" si="238">SUM(SK17:SM17)</f>
        <v>0</v>
      </c>
      <c r="SK17" s="763">
        <f>[1]Субсидия_факт!BJ11</f>
        <v>0</v>
      </c>
      <c r="SL17" s="766">
        <f>[1]Субсидия_факт!BF11</f>
        <v>0</v>
      </c>
      <c r="SM17" s="793">
        <f>[1]Субсидия_факт!BH11</f>
        <v>0</v>
      </c>
      <c r="SN17" s="957">
        <f t="shared" si="137"/>
        <v>0</v>
      </c>
      <c r="SO17" s="795"/>
      <c r="SP17" s="789"/>
      <c r="SQ17" s="793"/>
      <c r="SR17" s="801">
        <f t="shared" si="138"/>
        <v>0</v>
      </c>
      <c r="SS17" s="766">
        <f>[1]Субсидия_факт!AD11</f>
        <v>0</v>
      </c>
      <c r="ST17" s="767">
        <f>[1]Субсидия_факт!AF11</f>
        <v>0</v>
      </c>
      <c r="SU17" s="957">
        <f t="shared" si="139"/>
        <v>0</v>
      </c>
      <c r="SV17" s="789"/>
      <c r="SW17" s="793"/>
      <c r="SX17" s="801">
        <f t="shared" ref="SX17:SX30" si="239">SUM(SY17:TD17)</f>
        <v>123288200</v>
      </c>
      <c r="SY17" s="766">
        <f>[1]Субсидия_факт!ID11</f>
        <v>0</v>
      </c>
      <c r="SZ17" s="767">
        <f>[1]Субсидия_факт!IJ11</f>
        <v>0</v>
      </c>
      <c r="TA17" s="789">
        <f>[1]Субсидия_факт!IP11</f>
        <v>0</v>
      </c>
      <c r="TB17" s="767">
        <f>[1]Субсидия_факт!IV11</f>
        <v>0</v>
      </c>
      <c r="TC17" s="1028">
        <f>[1]Субсидия_факт!JZ11</f>
        <v>0</v>
      </c>
      <c r="TD17" s="793">
        <f>[1]Субсидия_факт!KF11</f>
        <v>123288200</v>
      </c>
      <c r="TE17" s="957">
        <f t="shared" si="140"/>
        <v>0</v>
      </c>
      <c r="TF17" s="1162"/>
      <c r="TG17" s="794"/>
      <c r="TH17" s="1162"/>
      <c r="TI17" s="794"/>
      <c r="TJ17" s="1028"/>
      <c r="TK17" s="793"/>
      <c r="TL17" s="1260">
        <f t="shared" si="141"/>
        <v>0</v>
      </c>
      <c r="TM17" s="766">
        <f>[1]Субсидия_факт!IF11</f>
        <v>0</v>
      </c>
      <c r="TN17" s="767">
        <f>[1]Субсидия_факт!IL11</f>
        <v>0</v>
      </c>
      <c r="TO17" s="789">
        <f>[1]Субсидия_факт!IR11</f>
        <v>0</v>
      </c>
      <c r="TP17" s="767">
        <f>[1]Субсидия_факт!IX11</f>
        <v>0</v>
      </c>
      <c r="TQ17" s="789">
        <f>[1]Субсидия_факт!KB11</f>
        <v>0</v>
      </c>
      <c r="TR17" s="767">
        <f>[1]Субсидия_факт!KH11</f>
        <v>0</v>
      </c>
      <c r="TS17" s="957">
        <f t="shared" si="142"/>
        <v>0</v>
      </c>
      <c r="TT17" s="770"/>
      <c r="TU17" s="794"/>
      <c r="TV17" s="1028"/>
      <c r="TW17" s="794"/>
      <c r="TX17" s="770"/>
      <c r="TY17" s="794"/>
      <c r="TZ17" s="1257">
        <f t="shared" si="143"/>
        <v>-1742111.63</v>
      </c>
      <c r="UA17" s="766">
        <f t="shared" si="144"/>
        <v>0</v>
      </c>
      <c r="UB17" s="767">
        <f t="shared" si="144"/>
        <v>0</v>
      </c>
      <c r="UC17" s="766">
        <f t="shared" si="144"/>
        <v>-87105.579999999842</v>
      </c>
      <c r="UD17" s="767">
        <f t="shared" si="144"/>
        <v>-1655006.05</v>
      </c>
      <c r="UE17" s="789">
        <f t="shared" si="144"/>
        <v>0</v>
      </c>
      <c r="UF17" s="767">
        <f t="shared" si="144"/>
        <v>0</v>
      </c>
      <c r="UG17" s="783">
        <f t="shared" si="145"/>
        <v>0</v>
      </c>
      <c r="UH17" s="766">
        <f t="shared" si="146"/>
        <v>0</v>
      </c>
      <c r="UI17" s="767">
        <f t="shared" si="146"/>
        <v>0</v>
      </c>
      <c r="UJ17" s="766">
        <f t="shared" si="146"/>
        <v>0</v>
      </c>
      <c r="UK17" s="767">
        <f t="shared" si="146"/>
        <v>0</v>
      </c>
      <c r="UL17" s="789">
        <f t="shared" si="146"/>
        <v>0</v>
      </c>
      <c r="UM17" s="767">
        <f t="shared" si="146"/>
        <v>0</v>
      </c>
      <c r="UN17" s="1261">
        <f t="shared" si="147"/>
        <v>1742111.63</v>
      </c>
      <c r="UO17" s="766">
        <f>[1]Субсидия_факт!IH11</f>
        <v>0</v>
      </c>
      <c r="UP17" s="767">
        <f>[1]Субсидия_факт!IN11</f>
        <v>0</v>
      </c>
      <c r="UQ17" s="789">
        <f>[1]Субсидия_факт!IT11</f>
        <v>87105.579999999842</v>
      </c>
      <c r="UR17" s="767">
        <f>[1]Субсидия_факт!IZ11</f>
        <v>1655006.05</v>
      </c>
      <c r="US17" s="789">
        <f>[1]Субсидия_факт!KD11</f>
        <v>0</v>
      </c>
      <c r="UT17" s="767">
        <f>[1]Субсидия_факт!KJ11</f>
        <v>0</v>
      </c>
      <c r="UU17" s="783">
        <f t="shared" si="148"/>
        <v>0</v>
      </c>
      <c r="UV17" s="1028"/>
      <c r="UW17" s="794"/>
      <c r="UX17" s="1028"/>
      <c r="UY17" s="794"/>
      <c r="UZ17" s="1028"/>
      <c r="VA17" s="794"/>
      <c r="VB17" s="957">
        <f>'Прочая  субсидия_МР  и  ГО'!B12</f>
        <v>274893528.74000001</v>
      </c>
      <c r="VC17" s="957">
        <f>'Прочая  субсидия_МР  и  ГО'!C12</f>
        <v>21616030.830000002</v>
      </c>
      <c r="VD17" s="1234">
        <f>'Прочая  субсидия_БП'!B12</f>
        <v>85695290.980000004</v>
      </c>
      <c r="VE17" s="801">
        <f>'Прочая  субсидия_БП'!C12</f>
        <v>446458.91999999993</v>
      </c>
      <c r="VF17" s="1255">
        <f>'Прочая  субсидия_БП'!D12</f>
        <v>22521.160000000149</v>
      </c>
      <c r="VG17" s="1248">
        <f>'Прочая  субсидия_БП'!E12</f>
        <v>350246.8899999999</v>
      </c>
      <c r="VH17" s="1249">
        <f>'Прочая  субсидия_БП'!F12</f>
        <v>85672769.819999993</v>
      </c>
      <c r="VI17" s="1255">
        <f>'Прочая  субсидия_БП'!G12</f>
        <v>96212.03</v>
      </c>
      <c r="VJ17" s="801">
        <f t="shared" si="149"/>
        <v>979948284.75</v>
      </c>
      <c r="VK17" s="770">
        <f>'Проверочная  таблица'!WM17+'Проверочная  таблица'!VP17+'Проверочная  таблица'!VR17+WG17</f>
        <v>946556612.01999998</v>
      </c>
      <c r="VL17" s="795">
        <f>'Проверочная  таблица'!WN17+'Проверочная  таблица'!VV17+'Проверочная  таблица'!WB17+'Проверочная  таблица'!VX17+'Проверочная  таблица'!VZ17+WD17+WH17+VT17</f>
        <v>33391672.73</v>
      </c>
      <c r="VM17" s="957">
        <f t="shared" si="150"/>
        <v>599185649.61000001</v>
      </c>
      <c r="VN17" s="770">
        <f>'Проверочная  таблица'!WP17+'Проверочная  таблица'!VQ17+'Проверочная  таблица'!VS17+WJ17</f>
        <v>577451818.16999996</v>
      </c>
      <c r="VO17" s="795">
        <f>'Проверочная  таблица'!WQ17+'Проверочная  таблица'!VW17+'Проверочная  таблица'!WC17+'Проверочная  таблица'!VY17+'Проверочная  таблица'!WA17+WE17+WK17+VU17</f>
        <v>21733831.440000001</v>
      </c>
      <c r="VP17" s="1253">
        <f>'Субвенция  на  полномочия'!B12</f>
        <v>904336602.5</v>
      </c>
      <c r="VQ17" s="1234">
        <f>'Субвенция  на  полномочия'!C12</f>
        <v>554939277.63</v>
      </c>
      <c r="VR17" s="790">
        <f>[1]Субвенция_факт!M10*1000</f>
        <v>29668661</v>
      </c>
      <c r="VS17" s="796">
        <v>14550000</v>
      </c>
      <c r="VT17" s="790">
        <f>[1]Субвенция_факт!AE10*1000</f>
        <v>0</v>
      </c>
      <c r="VU17" s="796"/>
      <c r="VV17" s="790">
        <f>[1]Субвенция_факт!AF10*1000</f>
        <v>3142100</v>
      </c>
      <c r="VW17" s="796">
        <f>ВУС!E10</f>
        <v>1370410.1199999999</v>
      </c>
      <c r="VX17" s="1256">
        <f>[1]Субвенция_факт!AG10*1000</f>
        <v>0</v>
      </c>
      <c r="VY17" s="797"/>
      <c r="VZ17" s="792">
        <f>[1]Субвенция_факт!E10*1000</f>
        <v>0</v>
      </c>
      <c r="WA17" s="797"/>
      <c r="WB17" s="792">
        <f>[1]Субвенция_факт!F10*1000</f>
        <v>0</v>
      </c>
      <c r="WC17" s="797"/>
      <c r="WD17" s="791">
        <f>[1]Субвенция_факт!G10*1000</f>
        <v>0</v>
      </c>
      <c r="WE17" s="796"/>
      <c r="WF17" s="801">
        <f t="shared" si="151"/>
        <v>39364287.479999997</v>
      </c>
      <c r="WG17" s="766">
        <f>[1]Субвенция_факт!P10*1000</f>
        <v>10234714.749999996</v>
      </c>
      <c r="WH17" s="767">
        <f>[1]Субвенция_факт!Q10*1000</f>
        <v>29129572.73</v>
      </c>
      <c r="WI17" s="957">
        <f t="shared" si="152"/>
        <v>26240540.539999999</v>
      </c>
      <c r="WJ17" s="770">
        <v>6822540.54</v>
      </c>
      <c r="WK17" s="798">
        <v>19418000</v>
      </c>
      <c r="WL17" s="957">
        <f t="shared" si="153"/>
        <v>3436633.77</v>
      </c>
      <c r="WM17" s="799">
        <f>[1]Субвенция_факт!X10*1000</f>
        <v>2316633.77</v>
      </c>
      <c r="WN17" s="800">
        <f>[1]Субвенция_факт!W10*1000</f>
        <v>1120000</v>
      </c>
      <c r="WO17" s="957">
        <f t="shared" si="154"/>
        <v>2085421.3199999998</v>
      </c>
      <c r="WP17" s="770">
        <v>1140000</v>
      </c>
      <c r="WQ17" s="798">
        <v>945421.32</v>
      </c>
      <c r="WR17" s="957">
        <f t="shared" ref="WR17:WR30" si="240">WT17+WZ17+XF17+XL17+XP17+XX17+YT17</f>
        <v>215435208.60999998</v>
      </c>
      <c r="WS17" s="957">
        <f t="shared" ref="WS17:WS30" si="241">WW17+XC17+XI17+XN17+XR17+YI17+YZ17</f>
        <v>69053351.810000002</v>
      </c>
      <c r="WT17" s="1253">
        <f t="shared" si="155"/>
        <v>0</v>
      </c>
      <c r="WU17" s="799">
        <f>'[1]Иные межбюджетные трансферты'!AM11</f>
        <v>0</v>
      </c>
      <c r="WV17" s="800">
        <f>'[1]Иные межбюджетные трансферты'!AO11</f>
        <v>0</v>
      </c>
      <c r="WW17" s="1253">
        <f t="shared" si="156"/>
        <v>0</v>
      </c>
      <c r="WX17" s="799"/>
      <c r="WY17" s="800"/>
      <c r="WZ17" s="957">
        <f t="shared" si="157"/>
        <v>5662001.9199999999</v>
      </c>
      <c r="XA17" s="799">
        <f>'[1]Иные межбюджетные трансферты'!AI11</f>
        <v>283100.09999999998</v>
      </c>
      <c r="XB17" s="800">
        <f>'[1]Иные межбюджетные трансферты'!AK11</f>
        <v>5378901.8200000003</v>
      </c>
      <c r="XC17" s="957">
        <f t="shared" si="158"/>
        <v>3742001.92</v>
      </c>
      <c r="XD17" s="799">
        <v>187100.1</v>
      </c>
      <c r="XE17" s="800">
        <v>3554901.82</v>
      </c>
      <c r="XF17" s="957">
        <f t="shared" si="159"/>
        <v>32651467</v>
      </c>
      <c r="XG17" s="799">
        <f>'[1]Иные межбюджетные трансферты'!I11</f>
        <v>0</v>
      </c>
      <c r="XH17" s="800">
        <f>'[1]Иные межбюджетные трансферты'!K11</f>
        <v>32651467</v>
      </c>
      <c r="XI17" s="957">
        <f t="shared" ref="XI17:XI30" si="242">SUM(XJ17:XK17)</f>
        <v>32651467</v>
      </c>
      <c r="XJ17" s="786"/>
      <c r="XK17" s="800">
        <v>32651467</v>
      </c>
      <c r="XL17" s="957">
        <f t="shared" si="161"/>
        <v>0</v>
      </c>
      <c r="XM17" s="789"/>
      <c r="XN17" s="957">
        <f t="shared" si="162"/>
        <v>0</v>
      </c>
      <c r="XO17" s="789"/>
      <c r="XP17" s="801">
        <f t="shared" si="163"/>
        <v>89812611.289999992</v>
      </c>
      <c r="XQ17" s="766">
        <f>'[1]Иные межбюджетные трансферты'!M11</f>
        <v>89812611.289999992</v>
      </c>
      <c r="XR17" s="957">
        <f t="shared" si="164"/>
        <v>0</v>
      </c>
      <c r="XS17" s="770"/>
      <c r="XT17" s="1252">
        <f t="shared" si="165"/>
        <v>0</v>
      </c>
      <c r="XU17" s="783">
        <f t="shared" si="166"/>
        <v>0</v>
      </c>
      <c r="XV17" s="1252">
        <f t="shared" si="167"/>
        <v>89812611.289999992</v>
      </c>
      <c r="XW17" s="783">
        <f t="shared" si="168"/>
        <v>0</v>
      </c>
      <c r="XX17" s="957">
        <f t="shared" ref="XX17:XX30" si="243">SUM(XY17:YH17)</f>
        <v>35026227.68</v>
      </c>
      <c r="XY17" s="787">
        <f>'[1]Иные межбюджетные трансферты'!E11</f>
        <v>0</v>
      </c>
      <c r="XZ17" s="799">
        <f>'[1]Иные межбюджетные трансферты'!G11</f>
        <v>22525000</v>
      </c>
      <c r="YA17" s="786">
        <f>'[1]Иные межбюджетные трансферты'!Q11</f>
        <v>0</v>
      </c>
      <c r="YB17" s="787">
        <f>'[1]Иные межбюджетные трансферты'!W11</f>
        <v>0</v>
      </c>
      <c r="YC17" s="786">
        <f>'[1]Иные межбюджетные трансферты'!Y11</f>
        <v>8218700.0000000009</v>
      </c>
      <c r="YD17" s="1116">
        <f>'[1]Иные межбюджетные трансферты'!AE11</f>
        <v>2485140</v>
      </c>
      <c r="YE17" s="786">
        <f>'[1]Иные межбюджетные трансферты'!AQ11</f>
        <v>0</v>
      </c>
      <c r="YF17" s="766">
        <f>'[1]Иные межбюджетные трансферты'!AW11</f>
        <v>0</v>
      </c>
      <c r="YG17" s="786">
        <f>'[1]Иные межбюджетные трансферты'!AY11</f>
        <v>0</v>
      </c>
      <c r="YH17" s="1116">
        <f>'[1]Иные межбюджетные трансферты'!BA11</f>
        <v>1797387.6800000002</v>
      </c>
      <c r="YI17" s="957">
        <f t="shared" ref="YI17:YI30" si="244">SUM(YJ17:YS17)</f>
        <v>8611186.6400000006</v>
      </c>
      <c r="YJ17" s="786"/>
      <c r="YK17" s="786"/>
      <c r="YL17" s="755"/>
      <c r="YM17" s="786"/>
      <c r="YN17" s="751">
        <f t="shared" ref="YN17:YN30" si="245">YC17</f>
        <v>8218700.0000000009</v>
      </c>
      <c r="YO17" s="751"/>
      <c r="YP17" s="751"/>
      <c r="YQ17" s="751"/>
      <c r="YR17" s="751"/>
      <c r="YS17" s="751">
        <v>392486.64</v>
      </c>
      <c r="YT17" s="957">
        <f t="shared" si="169"/>
        <v>52282900.719999999</v>
      </c>
      <c r="YU17" s="799">
        <f>'[1]Иные межбюджетные трансферты'!S11</f>
        <v>600000</v>
      </c>
      <c r="YV17" s="786">
        <f>'[1]Иные межбюджетные трансферты'!AA11</f>
        <v>23803000</v>
      </c>
      <c r="YW17" s="1116">
        <f>'[1]Иные межбюджетные трансферты'!AG11</f>
        <v>22789590</v>
      </c>
      <c r="YX17" s="787">
        <f>'[1]Иные межбюджетные трансферты'!AS11</f>
        <v>0</v>
      </c>
      <c r="YY17" s="751">
        <f>'[1]Иные межбюджетные трансферты'!BC11</f>
        <v>5090310.7200000007</v>
      </c>
      <c r="YZ17" s="957">
        <f t="shared" si="170"/>
        <v>24048696.25</v>
      </c>
      <c r="ZA17" s="769">
        <f>245696.25</f>
        <v>245696.25</v>
      </c>
      <c r="ZB17" s="769">
        <f>YV17</f>
        <v>23803000</v>
      </c>
      <c r="ZC17" s="769"/>
      <c r="ZD17" s="751"/>
      <c r="ZE17" s="751"/>
      <c r="ZF17" s="783">
        <f t="shared" si="171"/>
        <v>28015295.960000001</v>
      </c>
      <c r="ZG17" s="763">
        <f>'Проверочная  таблица'!YU17-ZS17</f>
        <v>600000</v>
      </c>
      <c r="ZH17" s="763">
        <f>'Проверочная  таблица'!YV17-ZT17</f>
        <v>0</v>
      </c>
      <c r="ZI17" s="763">
        <f>'Проверочная  таблица'!YW17-ZU17</f>
        <v>22789590</v>
      </c>
      <c r="ZJ17" s="763">
        <f>'Проверочная  таблица'!YX17-ZV17</f>
        <v>0</v>
      </c>
      <c r="ZK17" s="763">
        <f>'Проверочная  таблица'!YY17-ZW17</f>
        <v>4625705.9600000009</v>
      </c>
      <c r="ZL17" s="783">
        <f t="shared" si="172"/>
        <v>245696.25</v>
      </c>
      <c r="ZM17" s="763">
        <f>'Проверочная  таблица'!ZA17-ZY17</f>
        <v>245696.25</v>
      </c>
      <c r="ZN17" s="763">
        <f>'Проверочная  таблица'!ZB17-ZZ17</f>
        <v>0</v>
      </c>
      <c r="ZO17" s="763">
        <f>'Проверочная  таблица'!ZC17-AAA17</f>
        <v>0</v>
      </c>
      <c r="ZP17" s="763">
        <f>'Проверочная  таблица'!ZD17-AAB17</f>
        <v>0</v>
      </c>
      <c r="ZQ17" s="763">
        <f>'Проверочная  таблица'!ZE17-AAC17</f>
        <v>0</v>
      </c>
      <c r="ZR17" s="783">
        <f t="shared" si="173"/>
        <v>24267604.760000002</v>
      </c>
      <c r="ZS17" s="799">
        <f>'[1]Иные межбюджетные трансферты'!U11</f>
        <v>0</v>
      </c>
      <c r="ZT17" s="786">
        <f>'[1]Иные межбюджетные трансферты'!AC11</f>
        <v>23803000</v>
      </c>
      <c r="ZU17" s="787"/>
      <c r="ZV17" s="799">
        <f>'[1]Иные межбюджетные трансферты'!AU11</f>
        <v>0</v>
      </c>
      <c r="ZW17" s="751">
        <f>'[1]Иные межбюджетные трансферты'!$BE$11</f>
        <v>464604.76</v>
      </c>
      <c r="ZX17" s="783">
        <f t="shared" si="174"/>
        <v>23803000</v>
      </c>
      <c r="ZY17" s="769"/>
      <c r="ZZ17" s="769">
        <f>ZB17</f>
        <v>23803000</v>
      </c>
      <c r="AAA17" s="769"/>
      <c r="AAB17" s="751"/>
      <c r="AAC17" s="751"/>
      <c r="AAD17" s="957">
        <f>AAF17+'Проверочная  таблица'!AAN17+AAJ17+'Проверочная  таблица'!AAR17+AAL17+'Проверочная  таблица'!AAT17</f>
        <v>0</v>
      </c>
      <c r="AAE17" s="957">
        <f>AAG17+'Проверочная  таблица'!AAO17+AAK17+'Проверочная  таблица'!AAS17+AAM17+'Проверочная  таблица'!AAU17</f>
        <v>0</v>
      </c>
      <c r="AAF17" s="801"/>
      <c r="AAG17" s="801"/>
      <c r="AAH17" s="801"/>
      <c r="AAI17" s="801"/>
      <c r="AAJ17" s="1235">
        <f t="shared" si="175"/>
        <v>0</v>
      </c>
      <c r="AAK17" s="783">
        <f t="shared" si="175"/>
        <v>0</v>
      </c>
      <c r="AAL17" s="802"/>
      <c r="AAM17" s="783"/>
      <c r="AAN17" s="801"/>
      <c r="AAO17" s="801"/>
      <c r="AAP17" s="801"/>
      <c r="AAQ17" s="801"/>
      <c r="AAR17" s="1235">
        <f t="shared" si="176"/>
        <v>0</v>
      </c>
      <c r="AAS17" s="783">
        <f t="shared" si="176"/>
        <v>0</v>
      </c>
      <c r="AAT17" s="783"/>
      <c r="AAU17" s="783"/>
      <c r="AAV17" s="1246">
        <f>'Проверочная  таблица'!AAN17+'Проверочная  таблица'!AAP17</f>
        <v>0</v>
      </c>
      <c r="AAW17" s="1246">
        <f>'Проверочная  таблица'!AAO17+'Проверочная  таблица'!AAQ17</f>
        <v>0</v>
      </c>
    </row>
    <row r="18" spans="1:725" ht="24" customHeight="1" x14ac:dyDescent="0.25">
      <c r="A18" s="803" t="s">
        <v>1306</v>
      </c>
      <c r="B18" s="801">
        <f>D18+AN18+'Проверочная  таблица'!VJ18+'Проверочная  таблица'!WR18</f>
        <v>1566125151.3600004</v>
      </c>
      <c r="C18" s="957">
        <f>E18+'Проверочная  таблица'!VM18+AO18+'Проверочная  таблица'!WS18</f>
        <v>548740143.17999995</v>
      </c>
      <c r="D18" s="1234">
        <f t="shared" si="0"/>
        <v>231449694.09</v>
      </c>
      <c r="E18" s="801">
        <f t="shared" si="1"/>
        <v>86023342</v>
      </c>
      <c r="F18" s="1238">
        <f>'[1]Дотация  из  ОБ_факт'!M10</f>
        <v>51645019</v>
      </c>
      <c r="G18" s="1247">
        <v>25822800</v>
      </c>
      <c r="H18" s="1238">
        <f>'[1]Дотация  из  ОБ_факт'!G10</f>
        <v>15619336.09</v>
      </c>
      <c r="I18" s="1247">
        <v>8122311</v>
      </c>
      <c r="J18" s="1248">
        <f t="shared" si="2"/>
        <v>13200840.09</v>
      </c>
      <c r="K18" s="1249">
        <f t="shared" si="2"/>
        <v>6913311</v>
      </c>
      <c r="L18" s="1248">
        <f>'[1]Дотация  из  ОБ_факт'!K10</f>
        <v>2418496</v>
      </c>
      <c r="M18" s="785">
        <v>1209000</v>
      </c>
      <c r="N18" s="1238">
        <f>'[1]Дотация  из  ОБ_факт'!Q10</f>
        <v>80000000</v>
      </c>
      <c r="O18" s="1247">
        <v>14710247</v>
      </c>
      <c r="P18" s="1238">
        <f>'[1]Дотация  из  ОБ_факт'!S10</f>
        <v>84102464</v>
      </c>
      <c r="Q18" s="1262">
        <v>37367984</v>
      </c>
      <c r="R18" s="1248">
        <f t="shared" si="3"/>
        <v>36289585</v>
      </c>
      <c r="S18" s="1249">
        <f t="shared" si="3"/>
        <v>19461564</v>
      </c>
      <c r="T18" s="1248">
        <f>'[1]Дотация  из  ОБ_факт'!W10</f>
        <v>47812879</v>
      </c>
      <c r="U18" s="785">
        <v>17906420</v>
      </c>
      <c r="V18" s="790">
        <f t="shared" si="4"/>
        <v>0</v>
      </c>
      <c r="W18" s="1250">
        <f>'[1]Дотация  из  ОБ_факт'!AA10</f>
        <v>0</v>
      </c>
      <c r="X18" s="1251">
        <f>'[1]Дотация  из  ОБ_факт'!AC10</f>
        <v>0</v>
      </c>
      <c r="Y18" s="1251">
        <f>'[1]Дотация  из  ОБ_факт'!AG10</f>
        <v>0</v>
      </c>
      <c r="Z18" s="791">
        <f t="shared" si="5"/>
        <v>0</v>
      </c>
      <c r="AA18" s="751">
        <f t="shared" si="180"/>
        <v>0</v>
      </c>
      <c r="AB18" s="751">
        <f t="shared" si="180"/>
        <v>0</v>
      </c>
      <c r="AC18" s="786"/>
      <c r="AD18" s="790">
        <f t="shared" si="6"/>
        <v>82875</v>
      </c>
      <c r="AE18" s="1250">
        <f>'[1]Дотация  из  ОБ_факт'!Y10</f>
        <v>82875</v>
      </c>
      <c r="AF18" s="1251">
        <f>'[1]Дотация  из  ОБ_факт'!AE10</f>
        <v>0</v>
      </c>
      <c r="AG18" s="790">
        <f t="shared" si="7"/>
        <v>0</v>
      </c>
      <c r="AH18" s="787"/>
      <c r="AI18" s="786"/>
      <c r="AJ18" s="1248">
        <f t="shared" si="8"/>
        <v>82875</v>
      </c>
      <c r="AK18" s="1249">
        <f t="shared" si="9"/>
        <v>0</v>
      </c>
      <c r="AL18" s="1248">
        <f>'[1]Дотация  из  ОБ_факт'!AE10</f>
        <v>0</v>
      </c>
      <c r="AM18" s="788"/>
      <c r="AN18" s="919">
        <f>'Проверочная  таблица'!VB18+'Проверочная  таблица'!VD18+BT18+BV18+CH18+CJ18+BH18+BL18+'Проверочная  таблица'!NB18+'Проверочная  таблица'!NR18+'Проверочная  таблица'!EB18+'Проверочная  таблица'!OJ18+DT18+'Проверочная  таблица'!JR18+'Проверочная  таблица'!JX18+'Проверочная  таблица'!OR18+'Проверочная  таблица'!OZ18+JL18+AP18+AV18+FB18+FH18+CV18+SX18+EH18+TL18+QH18+EN18+EV18+LV18+MD18+SR18+GV18+SD18+RF18+KP18+KZ18+RL18+SJ18+CP18+QZ18+HL18+GF18+HR18+HX18+FZ18+DJ18+PX18+CB18+IP18+JF18+HD18+GL18+IV18</f>
        <v>636007956.94000006</v>
      </c>
      <c r="AO18" s="920">
        <f>'Проверочная  таблица'!VC18+'Проверочная  таблица'!VE18+BU18+BW18+CI18+CK18+BJ18+BN18+'Проверочная  таблица'!NJ18+'Проверочная  таблица'!NU18+'Проверочная  таблица'!EE18+'Проверочная  таблица'!ON18+DX18+'Проверочная  таблица'!JU18+'Проверочная  таблица'!KA18+'Проверочная  таблица'!OV18+'Проверочная  таблица'!PD18+JO18+AS18+AX18+FE18+FK18+DC18+TE18+EK18+TS18+QK18+ER18+EY18+LZ18+MH18+SU18+GZ18+SG18+RI18+KU18+LE18+RO18+SN18+CS18+RC18+HO18+GI18+HU18+IA18+GC18+DM18+QC18+CE18+IS18+JI18+HF18+GO18+IY18</f>
        <v>174082559.38</v>
      </c>
      <c r="AP18" s="957">
        <f t="shared" si="10"/>
        <v>36031778</v>
      </c>
      <c r="AQ18" s="789">
        <f>[1]Субсидия_факт!HV12</f>
        <v>36031778</v>
      </c>
      <c r="AR18" s="770">
        <f>[1]Субсидия_факт!MR12</f>
        <v>0</v>
      </c>
      <c r="AS18" s="957">
        <f t="shared" si="11"/>
        <v>16080359.98</v>
      </c>
      <c r="AT18" s="770">
        <v>16080359.98</v>
      </c>
      <c r="AU18" s="789"/>
      <c r="AV18" s="910">
        <f t="shared" si="12"/>
        <v>0</v>
      </c>
      <c r="AW18" s="770">
        <f>[1]Субсидия_факт!MV12</f>
        <v>0</v>
      </c>
      <c r="AX18" s="1224">
        <f t="shared" si="13"/>
        <v>0</v>
      </c>
      <c r="AY18" s="770"/>
      <c r="AZ18" s="1225">
        <f t="shared" si="14"/>
        <v>0</v>
      </c>
      <c r="BA18" s="770">
        <f t="shared" si="15"/>
        <v>0</v>
      </c>
      <c r="BB18" s="783">
        <f t="shared" si="16"/>
        <v>0</v>
      </c>
      <c r="BC18" s="789">
        <f t="shared" si="17"/>
        <v>0</v>
      </c>
      <c r="BD18" s="782">
        <f t="shared" si="18"/>
        <v>0</v>
      </c>
      <c r="BE18" s="770">
        <f>[1]Субсидия_факт!MX12</f>
        <v>0</v>
      </c>
      <c r="BF18" s="802">
        <f t="shared" si="19"/>
        <v>0</v>
      </c>
      <c r="BG18" s="770"/>
      <c r="BH18" s="801">
        <f t="shared" si="20"/>
        <v>47088003.100000001</v>
      </c>
      <c r="BI18" s="770">
        <f>[1]Субсидия_факт!KZ12</f>
        <v>47088003.100000001</v>
      </c>
      <c r="BJ18" s="957">
        <f t="shared" si="21"/>
        <v>6984132.5199999996</v>
      </c>
      <c r="BK18" s="770">
        <v>6984132.5199999996</v>
      </c>
      <c r="BL18" s="801">
        <f t="shared" si="22"/>
        <v>0</v>
      </c>
      <c r="BM18" s="770">
        <f>[1]Субсидия_факт!LB12</f>
        <v>0</v>
      </c>
      <c r="BN18" s="957">
        <f t="shared" si="23"/>
        <v>0</v>
      </c>
      <c r="BO18" s="770"/>
      <c r="BP18" s="1235">
        <f t="shared" si="24"/>
        <v>0</v>
      </c>
      <c r="BQ18" s="783">
        <f t="shared" si="25"/>
        <v>0</v>
      </c>
      <c r="BR18" s="1252">
        <f t="shared" si="26"/>
        <v>0</v>
      </c>
      <c r="BS18" s="1235">
        <f t="shared" si="27"/>
        <v>0</v>
      </c>
      <c r="BT18" s="801">
        <f>[1]Субсидия_факт!GV12</f>
        <v>0</v>
      </c>
      <c r="BU18" s="790"/>
      <c r="BV18" s="1253">
        <f>[1]Субсидия_факт!GX12</f>
        <v>0</v>
      </c>
      <c r="BW18" s="791"/>
      <c r="BX18" s="1252">
        <f t="shared" si="28"/>
        <v>0</v>
      </c>
      <c r="BY18" s="1235">
        <f t="shared" si="28"/>
        <v>0</v>
      </c>
      <c r="BZ18" s="783">
        <f>[1]Субсидия_факт!GZ12</f>
        <v>0</v>
      </c>
      <c r="CA18" s="785"/>
      <c r="CB18" s="801">
        <f t="shared" si="29"/>
        <v>62224778</v>
      </c>
      <c r="CC18" s="766">
        <f>[1]Субсидия_факт!HL12</f>
        <v>36031778</v>
      </c>
      <c r="CD18" s="770">
        <f>[1]Субсидия_факт!HN12</f>
        <v>26193000</v>
      </c>
      <c r="CE18" s="957">
        <f t="shared" si="30"/>
        <v>0</v>
      </c>
      <c r="CF18" s="770"/>
      <c r="CG18" s="770"/>
      <c r="CH18" s="957">
        <f>[1]Субсидия_факт!HB12</f>
        <v>0</v>
      </c>
      <c r="CI18" s="792"/>
      <c r="CJ18" s="957">
        <f>[1]Субсидия_факт!HD12</f>
        <v>0</v>
      </c>
      <c r="CK18" s="791"/>
      <c r="CL18" s="1226">
        <f t="shared" si="31"/>
        <v>0</v>
      </c>
      <c r="CM18" s="782">
        <f t="shared" si="31"/>
        <v>0</v>
      </c>
      <c r="CN18" s="1225">
        <f>[1]Субсидия_факт!HF12</f>
        <v>0</v>
      </c>
      <c r="CO18" s="753"/>
      <c r="CP18" s="801">
        <f t="shared" si="32"/>
        <v>65377681.299999997</v>
      </c>
      <c r="CQ18" s="766">
        <f>[1]Субсидия_факт!HP12</f>
        <v>52733881.299999997</v>
      </c>
      <c r="CR18" s="770">
        <f>[1]Субсидия_факт!HR12</f>
        <v>12643800</v>
      </c>
      <c r="CS18" s="957">
        <f t="shared" si="33"/>
        <v>0</v>
      </c>
      <c r="CT18" s="770"/>
      <c r="CU18" s="770"/>
      <c r="CV18" s="910">
        <f t="shared" si="34"/>
        <v>0</v>
      </c>
      <c r="CW18" s="763">
        <f>[1]Субсидия_факт!LR12</f>
        <v>0</v>
      </c>
      <c r="CX18" s="762">
        <f>[1]Субсидия_факт!LT12</f>
        <v>0</v>
      </c>
      <c r="CY18" s="754">
        <f>[1]Субсидия_факт!LV12</f>
        <v>0</v>
      </c>
      <c r="CZ18" s="762">
        <f>[1]Субсидия_факт!MB12</f>
        <v>0</v>
      </c>
      <c r="DA18" s="754">
        <f>[1]Субсидия_факт!MH12</f>
        <v>0</v>
      </c>
      <c r="DB18" s="762">
        <f>[1]Субсидия_факт!MJ12</f>
        <v>0</v>
      </c>
      <c r="DC18" s="910">
        <f t="shared" si="35"/>
        <v>0</v>
      </c>
      <c r="DD18" s="755"/>
      <c r="DE18" s="762"/>
      <c r="DF18" s="754"/>
      <c r="DG18" s="762"/>
      <c r="DH18" s="754"/>
      <c r="DI18" s="762"/>
      <c r="DJ18" s="920">
        <f t="shared" si="205"/>
        <v>0</v>
      </c>
      <c r="DK18" s="763">
        <f>[1]Субсидия_факт!LX12</f>
        <v>0</v>
      </c>
      <c r="DL18" s="762">
        <f>[1]Субсидия_факт!MD12</f>
        <v>0</v>
      </c>
      <c r="DM18" s="910">
        <f t="shared" si="37"/>
        <v>0</v>
      </c>
      <c r="DN18" s="763"/>
      <c r="DO18" s="764"/>
      <c r="DP18" s="1226">
        <f t="shared" si="206"/>
        <v>0</v>
      </c>
      <c r="DQ18" s="782">
        <f t="shared" si="207"/>
        <v>0</v>
      </c>
      <c r="DR18" s="1225">
        <f t="shared" si="208"/>
        <v>0</v>
      </c>
      <c r="DS18" s="753">
        <f t="shared" si="209"/>
        <v>0</v>
      </c>
      <c r="DT18" s="957">
        <f t="shared" si="210"/>
        <v>0</v>
      </c>
      <c r="DU18" s="789">
        <f>[1]Субсидия_факт!R12</f>
        <v>0</v>
      </c>
      <c r="DV18" s="766">
        <f>[1]Субсидия_факт!T12</f>
        <v>0</v>
      </c>
      <c r="DW18" s="770">
        <f>[1]Субсидия_факт!V12</f>
        <v>0</v>
      </c>
      <c r="DX18" s="957">
        <f t="shared" si="211"/>
        <v>0</v>
      </c>
      <c r="DY18" s="770"/>
      <c r="DZ18" s="770"/>
      <c r="EA18" s="770"/>
      <c r="EB18" s="801">
        <f t="shared" si="38"/>
        <v>0</v>
      </c>
      <c r="EC18" s="766">
        <f>[1]Субсидия_факт!AX12</f>
        <v>0</v>
      </c>
      <c r="ED18" s="767">
        <f>[1]Субсидия_факт!AZ12</f>
        <v>0</v>
      </c>
      <c r="EE18" s="957">
        <f t="shared" si="39"/>
        <v>0</v>
      </c>
      <c r="EF18" s="789"/>
      <c r="EG18" s="793"/>
      <c r="EH18" s="801">
        <f t="shared" si="40"/>
        <v>0</v>
      </c>
      <c r="EI18" s="766">
        <f>[1]Субсидия_факт!X12</f>
        <v>0</v>
      </c>
      <c r="EJ18" s="767">
        <f>[1]Субсидия_факт!Z12</f>
        <v>0</v>
      </c>
      <c r="EK18" s="957">
        <f t="shared" si="41"/>
        <v>0</v>
      </c>
      <c r="EL18" s="766"/>
      <c r="EM18" s="767"/>
      <c r="EN18" s="920">
        <f t="shared" si="212"/>
        <v>0</v>
      </c>
      <c r="EO18" s="763">
        <f>[1]Субсидия_факт!AP12</f>
        <v>0</v>
      </c>
      <c r="EP18" s="763">
        <f>[1]Субсидия_факт!AL12</f>
        <v>0</v>
      </c>
      <c r="EQ18" s="764">
        <f>[1]Субсидия_факт!AN12</f>
        <v>0</v>
      </c>
      <c r="ER18" s="920">
        <f t="shared" si="42"/>
        <v>0</v>
      </c>
      <c r="ES18" s="763"/>
      <c r="ET18" s="763"/>
      <c r="EU18" s="764"/>
      <c r="EV18" s="920">
        <f t="shared" si="43"/>
        <v>0</v>
      </c>
      <c r="EW18" s="763">
        <f>[1]Субсидия_факт!HH12</f>
        <v>0</v>
      </c>
      <c r="EX18" s="762">
        <f>[1]Субсидия_факт!HJ12</f>
        <v>0</v>
      </c>
      <c r="EY18" s="910">
        <f t="shared" si="44"/>
        <v>0</v>
      </c>
      <c r="EZ18" s="763"/>
      <c r="FA18" s="762"/>
      <c r="FB18" s="920">
        <f t="shared" si="45"/>
        <v>0</v>
      </c>
      <c r="FC18" s="766">
        <f>[1]Субсидия_факт!PK12</f>
        <v>0</v>
      </c>
      <c r="FD18" s="767">
        <f>[1]Субсидия_факт!PQ12</f>
        <v>0</v>
      </c>
      <c r="FE18" s="910">
        <f t="shared" si="46"/>
        <v>0</v>
      </c>
      <c r="FF18" s="763"/>
      <c r="FG18" s="764"/>
      <c r="FH18" s="920">
        <f t="shared" si="47"/>
        <v>0</v>
      </c>
      <c r="FI18" s="763">
        <f>[1]Субсидия_факт!PM12</f>
        <v>0</v>
      </c>
      <c r="FJ18" s="762">
        <f>[1]Субсидия_факт!PS12</f>
        <v>0</v>
      </c>
      <c r="FK18" s="910">
        <f t="shared" si="48"/>
        <v>0</v>
      </c>
      <c r="FL18" s="763"/>
      <c r="FM18" s="764"/>
      <c r="FN18" s="1233">
        <f t="shared" si="49"/>
        <v>0</v>
      </c>
      <c r="FO18" s="763">
        <f t="shared" si="50"/>
        <v>0</v>
      </c>
      <c r="FP18" s="762">
        <f t="shared" si="50"/>
        <v>0</v>
      </c>
      <c r="FQ18" s="782">
        <f t="shared" si="51"/>
        <v>0</v>
      </c>
      <c r="FR18" s="763">
        <f t="shared" si="52"/>
        <v>0</v>
      </c>
      <c r="FS18" s="762">
        <f t="shared" si="52"/>
        <v>0</v>
      </c>
      <c r="FT18" s="1233">
        <f t="shared" si="53"/>
        <v>0</v>
      </c>
      <c r="FU18" s="763">
        <f>[1]Субсидия_факт!PO12</f>
        <v>0</v>
      </c>
      <c r="FV18" s="762">
        <f>[1]Субсидия_факт!PU12</f>
        <v>0</v>
      </c>
      <c r="FW18" s="782">
        <f t="shared" si="54"/>
        <v>0</v>
      </c>
      <c r="FX18" s="763"/>
      <c r="FY18" s="764"/>
      <c r="FZ18" s="920">
        <f t="shared" si="55"/>
        <v>0</v>
      </c>
      <c r="GA18" s="766">
        <f>[1]Субсидия_факт!EP12</f>
        <v>0</v>
      </c>
      <c r="GB18" s="767">
        <f>[1]Субсидия_факт!ER12</f>
        <v>0</v>
      </c>
      <c r="GC18" s="1234">
        <f t="shared" si="56"/>
        <v>0</v>
      </c>
      <c r="GD18" s="766"/>
      <c r="GE18" s="767"/>
      <c r="GF18" s="846">
        <f t="shared" si="57"/>
        <v>0</v>
      </c>
      <c r="GG18" s="766">
        <f>[1]Субсидия_факт!JN12</f>
        <v>0</v>
      </c>
      <c r="GH18" s="767">
        <f>[1]Субсидия_факт!JP12</f>
        <v>0</v>
      </c>
      <c r="GI18" s="801">
        <f t="shared" si="58"/>
        <v>0</v>
      </c>
      <c r="GJ18" s="766"/>
      <c r="GK18" s="767"/>
      <c r="GL18" s="936">
        <f t="shared" si="59"/>
        <v>0</v>
      </c>
      <c r="GM18" s="763">
        <f>[1]Субсидия_факт!JR12</f>
        <v>0</v>
      </c>
      <c r="GN18" s="764">
        <f>[1]Субсидия_факт!JV12</f>
        <v>0</v>
      </c>
      <c r="GO18" s="1235">
        <f t="shared" si="60"/>
        <v>0</v>
      </c>
      <c r="GP18" s="766"/>
      <c r="GQ18" s="793"/>
      <c r="GR18" s="1235">
        <f t="shared" si="213"/>
        <v>0</v>
      </c>
      <c r="GS18" s="783">
        <f t="shared" si="214"/>
        <v>0</v>
      </c>
      <c r="GT18" s="1252">
        <f t="shared" si="215"/>
        <v>0</v>
      </c>
      <c r="GU18" s="783">
        <f t="shared" si="216"/>
        <v>0</v>
      </c>
      <c r="GV18" s="1234">
        <f t="shared" si="61"/>
        <v>47088003.100000001</v>
      </c>
      <c r="GW18" s="766">
        <f>[1]Субсидия_факт!KL12</f>
        <v>0</v>
      </c>
      <c r="GX18" s="767">
        <f>[1]Субсидия_факт!KN12</f>
        <v>47088003.100000001</v>
      </c>
      <c r="GY18" s="766">
        <f>[1]Субсидия_факт!KP12</f>
        <v>0</v>
      </c>
      <c r="GZ18" s="801">
        <f t="shared" si="62"/>
        <v>0</v>
      </c>
      <c r="HA18" s="766"/>
      <c r="HB18" s="767"/>
      <c r="HC18" s="770"/>
      <c r="HD18" s="1235">
        <f t="shared" si="217"/>
        <v>0</v>
      </c>
      <c r="HE18" s="766">
        <f>[1]Субсидия_факт!KR12</f>
        <v>0</v>
      </c>
      <c r="HF18" s="1235">
        <f t="shared" si="217"/>
        <v>0</v>
      </c>
      <c r="HG18" s="770"/>
      <c r="HH18" s="1235">
        <f t="shared" si="218"/>
        <v>0</v>
      </c>
      <c r="HI18" s="1235">
        <f t="shared" si="219"/>
        <v>0</v>
      </c>
      <c r="HJ18" s="1235">
        <f t="shared" si="220"/>
        <v>0</v>
      </c>
      <c r="HK18" s="1235">
        <f t="shared" si="221"/>
        <v>0</v>
      </c>
      <c r="HL18" s="846">
        <f t="shared" si="63"/>
        <v>8457381.1999999993</v>
      </c>
      <c r="HM18" s="766">
        <f>[1]Субсидия_факт!KV12</f>
        <v>8457381.1999999993</v>
      </c>
      <c r="HN18" s="767">
        <f>[1]Субсидия_факт!KX12</f>
        <v>0</v>
      </c>
      <c r="HO18" s="957">
        <f t="shared" si="64"/>
        <v>0</v>
      </c>
      <c r="HP18" s="766"/>
      <c r="HQ18" s="767"/>
      <c r="HR18" s="846">
        <f t="shared" si="65"/>
        <v>0</v>
      </c>
      <c r="HS18" s="766"/>
      <c r="HT18" s="767"/>
      <c r="HU18" s="957">
        <f t="shared" si="66"/>
        <v>0</v>
      </c>
      <c r="HV18" s="766"/>
      <c r="HW18" s="767"/>
      <c r="HX18" s="846">
        <f t="shared" si="67"/>
        <v>73115151.519999996</v>
      </c>
      <c r="HY18" s="766">
        <f>[1]Субсидия_факт!FV12</f>
        <v>731151.52</v>
      </c>
      <c r="HZ18" s="767">
        <f>[1]Субсидия_факт!FZ12</f>
        <v>72384000</v>
      </c>
      <c r="IA18" s="957">
        <f t="shared" si="68"/>
        <v>70515812.569999993</v>
      </c>
      <c r="IB18" s="766">
        <v>705158.13</v>
      </c>
      <c r="IC18" s="767">
        <v>69810654.439999998</v>
      </c>
      <c r="ID18" s="1233">
        <f t="shared" si="69"/>
        <v>0</v>
      </c>
      <c r="IE18" s="763">
        <f t="shared" si="70"/>
        <v>0</v>
      </c>
      <c r="IF18" s="762">
        <f t="shared" si="70"/>
        <v>0</v>
      </c>
      <c r="IG18" s="782">
        <f t="shared" si="71"/>
        <v>0</v>
      </c>
      <c r="IH18" s="763">
        <f t="shared" si="72"/>
        <v>0</v>
      </c>
      <c r="II18" s="762">
        <f t="shared" si="72"/>
        <v>0</v>
      </c>
      <c r="IJ18" s="1233">
        <f t="shared" si="73"/>
        <v>73115151.519999996</v>
      </c>
      <c r="IK18" s="763">
        <f>[1]Субсидия_факт!FX12</f>
        <v>731151.52</v>
      </c>
      <c r="IL18" s="762">
        <f>[1]Субсидия_факт!GB12</f>
        <v>72384000</v>
      </c>
      <c r="IM18" s="782">
        <f t="shared" si="74"/>
        <v>70515812.569999993</v>
      </c>
      <c r="IN18" s="763">
        <f t="shared" si="188"/>
        <v>705158.13</v>
      </c>
      <c r="IO18" s="764">
        <f t="shared" si="189"/>
        <v>69810654.439999998</v>
      </c>
      <c r="IP18" s="846">
        <f t="shared" si="75"/>
        <v>0</v>
      </c>
      <c r="IQ18" s="763">
        <f>[1]Субсидия_факт!ED12</f>
        <v>0</v>
      </c>
      <c r="IR18" s="764">
        <f>[1]Субсидия_факт!EF12</f>
        <v>0</v>
      </c>
      <c r="IS18" s="957">
        <f t="shared" si="76"/>
        <v>0</v>
      </c>
      <c r="IT18" s="766"/>
      <c r="IU18" s="767"/>
      <c r="IV18" s="1146">
        <f t="shared" si="77"/>
        <v>0</v>
      </c>
      <c r="IW18" s="763">
        <f>[1]Субсидия_факт!EH12</f>
        <v>0</v>
      </c>
      <c r="IX18" s="764">
        <f>[1]Субсидия_факт!EL12</f>
        <v>0</v>
      </c>
      <c r="IY18" s="1254">
        <f t="shared" si="78"/>
        <v>0</v>
      </c>
      <c r="IZ18" s="766"/>
      <c r="JA18" s="793"/>
      <c r="JB18" s="1235">
        <f t="shared" si="222"/>
        <v>0</v>
      </c>
      <c r="JC18" s="1235">
        <f t="shared" si="223"/>
        <v>0</v>
      </c>
      <c r="JD18" s="1235">
        <f t="shared" si="224"/>
        <v>0</v>
      </c>
      <c r="JE18" s="783">
        <f t="shared" si="225"/>
        <v>0</v>
      </c>
      <c r="JF18" s="1258">
        <f t="shared" si="79"/>
        <v>0</v>
      </c>
      <c r="JG18" s="763">
        <f>[1]Субсидия_факт!BX12</f>
        <v>0</v>
      </c>
      <c r="JH18" s="764">
        <f>[1]Субсидия_факт!BZ12</f>
        <v>0</v>
      </c>
      <c r="JI18" s="957">
        <f t="shared" si="80"/>
        <v>0</v>
      </c>
      <c r="JJ18" s="766"/>
      <c r="JK18" s="767"/>
      <c r="JL18" s="846">
        <f t="shared" si="81"/>
        <v>0</v>
      </c>
      <c r="JM18" s="766">
        <f>[1]Субсидия_факт!ET12</f>
        <v>0</v>
      </c>
      <c r="JN18" s="767">
        <f>[1]Субсидия_факт!EV12</f>
        <v>0</v>
      </c>
      <c r="JO18" s="957">
        <f t="shared" si="82"/>
        <v>0</v>
      </c>
      <c r="JP18" s="766"/>
      <c r="JQ18" s="767"/>
      <c r="JR18" s="910">
        <f t="shared" si="83"/>
        <v>0</v>
      </c>
      <c r="JS18" s="763">
        <f>[1]Субсидия_факт!EX12</f>
        <v>0</v>
      </c>
      <c r="JT18" s="762">
        <f>[1]Субсидия_факт!FD12</f>
        <v>0</v>
      </c>
      <c r="JU18" s="910">
        <f t="shared" si="84"/>
        <v>0</v>
      </c>
      <c r="JV18" s="763"/>
      <c r="JW18" s="764"/>
      <c r="JX18" s="910">
        <f t="shared" si="85"/>
        <v>0</v>
      </c>
      <c r="JY18" s="763">
        <f>[1]Субсидия_факт!EZ12</f>
        <v>0</v>
      </c>
      <c r="JZ18" s="764">
        <f>[1]Субсидия_факт!FF12</f>
        <v>0</v>
      </c>
      <c r="KA18" s="910">
        <f t="shared" si="86"/>
        <v>0</v>
      </c>
      <c r="KB18" s="754"/>
      <c r="KC18" s="768"/>
      <c r="KD18" s="910">
        <f t="shared" si="87"/>
        <v>-292080.45</v>
      </c>
      <c r="KE18" s="755">
        <f>'Проверочная  таблица'!JY18-'Проверочная  таблица'!KK18</f>
        <v>-75940.920000000013</v>
      </c>
      <c r="KF18" s="764">
        <f>'Проверочная  таблица'!JZ18-'Проверочная  таблица'!KL18</f>
        <v>-216139.53</v>
      </c>
      <c r="KG18" s="1225">
        <f t="shared" si="88"/>
        <v>0</v>
      </c>
      <c r="KH18" s="754">
        <f>'Проверочная  таблица'!KB18-'Проверочная  таблица'!KN18</f>
        <v>0</v>
      </c>
      <c r="KI18" s="771">
        <f>'Проверочная  таблица'!KC18-'Проверочная  таблица'!KO18</f>
        <v>0</v>
      </c>
      <c r="KJ18" s="910">
        <f t="shared" si="89"/>
        <v>292080.45</v>
      </c>
      <c r="KK18" s="763">
        <f>[1]Субсидия_факт!FB12</f>
        <v>75940.920000000013</v>
      </c>
      <c r="KL18" s="762">
        <f>[1]Субсидия_факт!FH12</f>
        <v>216139.53</v>
      </c>
      <c r="KM18" s="782">
        <f t="shared" si="90"/>
        <v>0</v>
      </c>
      <c r="KN18" s="763"/>
      <c r="KO18" s="764"/>
      <c r="KP18" s="1217">
        <f t="shared" si="226"/>
        <v>1368111.6400000001</v>
      </c>
      <c r="KQ18" s="754">
        <f>[1]Субсидия_факт!OD12</f>
        <v>845440</v>
      </c>
      <c r="KR18" s="764">
        <f>[1]Субсидия_факт!OJ12</f>
        <v>461551.64</v>
      </c>
      <c r="KS18" s="754">
        <f>[1]Субсидия_факт!OR12</f>
        <v>22220.03</v>
      </c>
      <c r="KT18" s="764">
        <f>[1]Субсидия_факт!OT12</f>
        <v>38899.97</v>
      </c>
      <c r="KU18" s="1217">
        <f t="shared" si="91"/>
        <v>0</v>
      </c>
      <c r="KV18" s="754"/>
      <c r="KW18" s="764"/>
      <c r="KX18" s="754"/>
      <c r="KY18" s="764"/>
      <c r="KZ18" s="1217">
        <f t="shared" si="227"/>
        <v>21810</v>
      </c>
      <c r="LA18" s="789">
        <f>[1]Субсидия_факт!OF12</f>
        <v>21810</v>
      </c>
      <c r="LB18" s="767">
        <f>[1]Субсидия_факт!OL12</f>
        <v>0</v>
      </c>
      <c r="LC18" s="789"/>
      <c r="LD18" s="767"/>
      <c r="LE18" s="1217">
        <f t="shared" si="92"/>
        <v>0</v>
      </c>
      <c r="LF18" s="754"/>
      <c r="LG18" s="764"/>
      <c r="LH18" s="754"/>
      <c r="LI18" s="764"/>
      <c r="LJ18" s="1219">
        <f t="shared" si="93"/>
        <v>-17500</v>
      </c>
      <c r="LK18" s="789">
        <f t="shared" si="94"/>
        <v>-17500</v>
      </c>
      <c r="LL18" s="767">
        <f t="shared" si="94"/>
        <v>0</v>
      </c>
      <c r="LM18" s="1219">
        <f t="shared" si="95"/>
        <v>0</v>
      </c>
      <c r="LN18" s="789">
        <f t="shared" si="96"/>
        <v>0</v>
      </c>
      <c r="LO18" s="767">
        <f t="shared" si="96"/>
        <v>0</v>
      </c>
      <c r="LP18" s="1219">
        <f t="shared" si="97"/>
        <v>39310</v>
      </c>
      <c r="LQ18" s="763">
        <f>[1]Субсидия_факт!OH12</f>
        <v>39310</v>
      </c>
      <c r="LR18" s="762">
        <f>[1]Субсидия_факт!ON12</f>
        <v>0</v>
      </c>
      <c r="LS18" s="1219">
        <f t="shared" si="98"/>
        <v>0</v>
      </c>
      <c r="LT18" s="755"/>
      <c r="LU18" s="764"/>
      <c r="LV18" s="957">
        <f t="shared" si="228"/>
        <v>0</v>
      </c>
      <c r="LW18" s="769">
        <f>[1]Субсидия_факт!DP12</f>
        <v>0</v>
      </c>
      <c r="LX18" s="754">
        <f>[1]Субсидия_факт!CB12</f>
        <v>0</v>
      </c>
      <c r="LY18" s="764">
        <f>[1]Субсидия_факт!CH12</f>
        <v>0</v>
      </c>
      <c r="LZ18" s="957">
        <f t="shared" si="99"/>
        <v>0</v>
      </c>
      <c r="MA18" s="769"/>
      <c r="MB18" s="754"/>
      <c r="MC18" s="764"/>
      <c r="MD18" s="957">
        <f t="shared" si="229"/>
        <v>0</v>
      </c>
      <c r="ME18" s="769">
        <f>[1]Субсидия_факт!DR12</f>
        <v>0</v>
      </c>
      <c r="MF18" s="754">
        <f>[1]Субсидия_факт!CD12</f>
        <v>0</v>
      </c>
      <c r="MG18" s="764">
        <f>[1]Субсидия_факт!CJ12</f>
        <v>0</v>
      </c>
      <c r="MH18" s="957">
        <f t="shared" si="100"/>
        <v>0</v>
      </c>
      <c r="MI18" s="769"/>
      <c r="MJ18" s="754"/>
      <c r="MK18" s="762"/>
      <c r="ML18" s="783">
        <f t="shared" si="101"/>
        <v>0</v>
      </c>
      <c r="MM18" s="766">
        <f>'Проверочная  таблица'!ME18-MU18</f>
        <v>0</v>
      </c>
      <c r="MN18" s="766">
        <f>'Проверочная  таблица'!MF18-MV18</f>
        <v>0</v>
      </c>
      <c r="MO18" s="767">
        <f>'Проверочная  таблица'!MG18-MW18</f>
        <v>0</v>
      </c>
      <c r="MP18" s="783">
        <f t="shared" si="102"/>
        <v>0</v>
      </c>
      <c r="MQ18" s="766">
        <f>'Проверочная  таблица'!MI18-MY18</f>
        <v>0</v>
      </c>
      <c r="MR18" s="766">
        <f>'Проверочная  таблица'!MJ18-MZ18</f>
        <v>0</v>
      </c>
      <c r="MS18" s="767">
        <f>'Проверочная  таблица'!MK18-NA18</f>
        <v>0</v>
      </c>
      <c r="MT18" s="783">
        <f t="shared" si="103"/>
        <v>0</v>
      </c>
      <c r="MU18" s="754">
        <f>[1]Субсидия_факт!DT12</f>
        <v>0</v>
      </c>
      <c r="MV18" s="754">
        <f>[1]Субсидия_факт!CF12</f>
        <v>0</v>
      </c>
      <c r="MW18" s="764">
        <f>[1]Субсидия_факт!CL12</f>
        <v>0</v>
      </c>
      <c r="MX18" s="783">
        <f t="shared" si="104"/>
        <v>0</v>
      </c>
      <c r="MY18" s="754"/>
      <c r="MZ18" s="754"/>
      <c r="NA18" s="764"/>
      <c r="NB18" s="1224">
        <f t="shared" si="230"/>
        <v>292080.45</v>
      </c>
      <c r="NC18" s="754">
        <f>[1]Субсидия_факт!CN12</f>
        <v>0</v>
      </c>
      <c r="ND18" s="762">
        <f>[1]Субсидия_факт!CP12</f>
        <v>0</v>
      </c>
      <c r="NE18" s="766">
        <f>[1]Субсидия_факт!CR12</f>
        <v>0</v>
      </c>
      <c r="NF18" s="767">
        <f>[1]Субсидия_факт!CT12</f>
        <v>0</v>
      </c>
      <c r="NG18" s="755">
        <f>[1]Субсидия_факт!DV12</f>
        <v>0</v>
      </c>
      <c r="NH18" s="763">
        <f>[1]Субсидия_факт!FJ12</f>
        <v>75940.920000000013</v>
      </c>
      <c r="NI18" s="762">
        <f>[1]Субсидия_факт!FP12</f>
        <v>216139.53</v>
      </c>
      <c r="NJ18" s="910">
        <f t="shared" si="105"/>
        <v>0</v>
      </c>
      <c r="NK18" s="754"/>
      <c r="NL18" s="764"/>
      <c r="NM18" s="770"/>
      <c r="NN18" s="794"/>
      <c r="NO18" s="754"/>
      <c r="NP18" s="754"/>
      <c r="NQ18" s="764">
        <v>0</v>
      </c>
      <c r="NR18" s="910">
        <f t="shared" si="231"/>
        <v>72384000</v>
      </c>
      <c r="NS18" s="763">
        <f>[1]Субсидия_факт!FL12</f>
        <v>0</v>
      </c>
      <c r="NT18" s="762">
        <f>[1]Субсидия_факт!FR12</f>
        <v>72384000</v>
      </c>
      <c r="NU18" s="910">
        <f t="shared" si="106"/>
        <v>0</v>
      </c>
      <c r="NV18" s="755"/>
      <c r="NW18" s="764"/>
      <c r="NX18" s="782">
        <f t="shared" si="107"/>
        <v>0</v>
      </c>
      <c r="NY18" s="763">
        <f>'Проверочная  таблица'!NS18-OE18</f>
        <v>0</v>
      </c>
      <c r="NZ18" s="764">
        <f>'Проверочная  таблица'!NT18-OF18</f>
        <v>0</v>
      </c>
      <c r="OA18" s="782">
        <f t="shared" si="108"/>
        <v>0</v>
      </c>
      <c r="OB18" s="754">
        <f>'Проверочная  таблица'!NV18-OH18</f>
        <v>0</v>
      </c>
      <c r="OC18" s="771">
        <f>'Проверочная  таблица'!NW18-OI18</f>
        <v>0</v>
      </c>
      <c r="OD18" s="782">
        <f t="shared" si="232"/>
        <v>72384000</v>
      </c>
      <c r="OE18" s="763">
        <f>[1]Субсидия_факт!FN12</f>
        <v>0</v>
      </c>
      <c r="OF18" s="762">
        <f>[1]Субсидия_факт!FT12</f>
        <v>72384000</v>
      </c>
      <c r="OG18" s="782">
        <f t="shared" si="109"/>
        <v>0</v>
      </c>
      <c r="OH18" s="754"/>
      <c r="OI18" s="764"/>
      <c r="OJ18" s="919">
        <f t="shared" si="233"/>
        <v>0</v>
      </c>
      <c r="OK18" s="763">
        <f>[1]Субсидия_факт!AR12</f>
        <v>0</v>
      </c>
      <c r="OL18" s="762">
        <f>[1]Субсидия_факт!AT12</f>
        <v>0</v>
      </c>
      <c r="OM18" s="763">
        <f>[1]Субсидия_факт!AV12</f>
        <v>0</v>
      </c>
      <c r="ON18" s="957">
        <f t="shared" si="110"/>
        <v>0</v>
      </c>
      <c r="OO18" s="770"/>
      <c r="OP18" s="767"/>
      <c r="OQ18" s="770"/>
      <c r="OR18" s="1238">
        <f t="shared" si="111"/>
        <v>26736045.079999998</v>
      </c>
      <c r="OS18" s="763">
        <f>[1]Субсидия_факт!GD12</f>
        <v>15600000</v>
      </c>
      <c r="OT18" s="762">
        <f>[1]Субсидия_факт!GJ12</f>
        <v>11136045.08</v>
      </c>
      <c r="OU18" s="770">
        <f>[1]Субсидия_факт!GP12</f>
        <v>0</v>
      </c>
      <c r="OV18" s="1238">
        <f t="shared" si="112"/>
        <v>0</v>
      </c>
      <c r="OW18" s="755"/>
      <c r="OX18" s="764"/>
      <c r="OY18" s="754"/>
      <c r="OZ18" s="1217">
        <f t="shared" si="234"/>
        <v>27557097.920000002</v>
      </c>
      <c r="PA18" s="763">
        <f>[1]Субсидия_факт!GF12</f>
        <v>821052.83999999985</v>
      </c>
      <c r="PB18" s="762">
        <f>[1]Субсидия_факт!GL12</f>
        <v>15600000</v>
      </c>
      <c r="PC18" s="754">
        <f>[1]Субсидия_факт!GR12</f>
        <v>11136045.08</v>
      </c>
      <c r="PD18" s="1217">
        <f t="shared" si="113"/>
        <v>11592398.23</v>
      </c>
      <c r="PE18" s="754">
        <v>316636.40999999997</v>
      </c>
      <c r="PF18" s="771">
        <v>6016090.1699999999</v>
      </c>
      <c r="PG18" s="754">
        <f>455945.21+3576251.35+1227475.09</f>
        <v>5259671.6500000004</v>
      </c>
      <c r="PH18" s="1219">
        <f t="shared" si="114"/>
        <v>11136045.08</v>
      </c>
      <c r="PI18" s="789">
        <f>'Проверочная  таблица'!PA18-PQ18</f>
        <v>0</v>
      </c>
      <c r="PJ18" s="767">
        <f>'Проверочная  таблица'!PB18-PR18</f>
        <v>0</v>
      </c>
      <c r="PK18" s="770">
        <f>'Проверочная  таблица'!PC18-PS18</f>
        <v>11136045.08</v>
      </c>
      <c r="PL18" s="1219">
        <f t="shared" si="235"/>
        <v>5259671.6500000004</v>
      </c>
      <c r="PM18" s="755">
        <f>'Проверочная  таблица'!PE18-PU18</f>
        <v>0</v>
      </c>
      <c r="PN18" s="764">
        <f>'Проверочная  таблица'!PF18-PV18</f>
        <v>0</v>
      </c>
      <c r="PO18" s="754">
        <f>'Проверочная  таблица'!PG18-PW18</f>
        <v>5259671.6500000004</v>
      </c>
      <c r="PP18" s="1219">
        <f t="shared" si="115"/>
        <v>16421052.84</v>
      </c>
      <c r="PQ18" s="763">
        <f>[1]Субсидия_факт!GH12</f>
        <v>821052.83999999985</v>
      </c>
      <c r="PR18" s="762">
        <f>[1]Субсидия_факт!GN12</f>
        <v>15600000</v>
      </c>
      <c r="PS18" s="763">
        <f>[1]Субсидия_факт!GT12</f>
        <v>0</v>
      </c>
      <c r="PT18" s="1219">
        <f t="shared" si="116"/>
        <v>6332726.5800000001</v>
      </c>
      <c r="PU18" s="755">
        <f t="shared" si="193"/>
        <v>316636.40999999997</v>
      </c>
      <c r="PV18" s="764">
        <f t="shared" si="194"/>
        <v>6016090.1699999999</v>
      </c>
      <c r="PW18" s="763"/>
      <c r="PX18" s="910">
        <f t="shared" si="195"/>
        <v>0</v>
      </c>
      <c r="PY18" s="766">
        <f>[1]Субсидия_факт!JB12</f>
        <v>0</v>
      </c>
      <c r="PZ18" s="767">
        <f>[1]Субсидия_факт!JH12</f>
        <v>0</v>
      </c>
      <c r="QA18" s="766"/>
      <c r="QB18" s="767"/>
      <c r="QC18" s="910">
        <f t="shared" si="196"/>
        <v>0</v>
      </c>
      <c r="QD18" s="770"/>
      <c r="QE18" s="794"/>
      <c r="QF18" s="770"/>
      <c r="QG18" s="794"/>
      <c r="QH18" s="957">
        <f t="shared" si="117"/>
        <v>1700742.64</v>
      </c>
      <c r="QI18" s="766">
        <f>[1]Субсидия_факт!JD12</f>
        <v>85037.129999999888</v>
      </c>
      <c r="QJ18" s="767">
        <f>[1]Субсидия_факт!JJ12</f>
        <v>1615705.51</v>
      </c>
      <c r="QK18" s="1253">
        <f t="shared" si="118"/>
        <v>0</v>
      </c>
      <c r="QL18" s="770"/>
      <c r="QM18" s="794"/>
      <c r="QN18" s="783">
        <f t="shared" si="236"/>
        <v>1700742.64</v>
      </c>
      <c r="QO18" s="770">
        <f t="shared" si="119"/>
        <v>85037.129999999888</v>
      </c>
      <c r="QP18" s="767">
        <f t="shared" si="119"/>
        <v>1615705.51</v>
      </c>
      <c r="QQ18" s="1235">
        <f t="shared" si="120"/>
        <v>0</v>
      </c>
      <c r="QR18" s="766">
        <f t="shared" si="121"/>
        <v>0</v>
      </c>
      <c r="QS18" s="767">
        <f t="shared" si="121"/>
        <v>0</v>
      </c>
      <c r="QT18" s="1235">
        <f t="shared" si="122"/>
        <v>0</v>
      </c>
      <c r="QU18" s="766">
        <f>[1]Субсидия_факт!JF12</f>
        <v>0</v>
      </c>
      <c r="QV18" s="767">
        <f>[1]Субсидия_факт!JL12</f>
        <v>0</v>
      </c>
      <c r="QW18" s="783">
        <f t="shared" si="237"/>
        <v>0</v>
      </c>
      <c r="QX18" s="770"/>
      <c r="QY18" s="794"/>
      <c r="QZ18" s="846">
        <f t="shared" si="123"/>
        <v>0</v>
      </c>
      <c r="RA18" s="766">
        <f>[1]Субсидия_факт!CV12</f>
        <v>0</v>
      </c>
      <c r="RB18" s="767">
        <f>[1]Субсидия_факт!CX12</f>
        <v>0</v>
      </c>
      <c r="RC18" s="957">
        <f t="shared" si="124"/>
        <v>0</v>
      </c>
      <c r="RD18" s="766"/>
      <c r="RE18" s="767"/>
      <c r="RF18" s="801">
        <f t="shared" si="125"/>
        <v>0</v>
      </c>
      <c r="RG18" s="766">
        <f>[1]Субсидия_факт!CZ12</f>
        <v>0</v>
      </c>
      <c r="RH18" s="767">
        <f>[1]Субсидия_факт!DF12</f>
        <v>0</v>
      </c>
      <c r="RI18" s="957">
        <f t="shared" si="126"/>
        <v>0</v>
      </c>
      <c r="RJ18" s="766"/>
      <c r="RK18" s="767"/>
      <c r="RL18" s="846">
        <f t="shared" si="127"/>
        <v>0</v>
      </c>
      <c r="RM18" s="766">
        <f>[1]Субсидия_факт!DB12</f>
        <v>0</v>
      </c>
      <c r="RN18" s="767">
        <f>[1]Субсидия_факт!DH12</f>
        <v>0</v>
      </c>
      <c r="RO18" s="957">
        <f t="shared" si="128"/>
        <v>0</v>
      </c>
      <c r="RP18" s="766"/>
      <c r="RQ18" s="767"/>
      <c r="RR18" s="1235">
        <f t="shared" si="129"/>
        <v>0</v>
      </c>
      <c r="RS18" s="766">
        <f t="shared" si="130"/>
        <v>0</v>
      </c>
      <c r="RT18" s="767">
        <f t="shared" si="130"/>
        <v>0</v>
      </c>
      <c r="RU18" s="783">
        <f t="shared" si="131"/>
        <v>0</v>
      </c>
      <c r="RV18" s="766">
        <f t="shared" si="132"/>
        <v>0</v>
      </c>
      <c r="RW18" s="767">
        <f t="shared" si="132"/>
        <v>0</v>
      </c>
      <c r="RX18" s="846">
        <f t="shared" si="133"/>
        <v>0</v>
      </c>
      <c r="RY18" s="766">
        <f>[1]Субсидия_факт!DD12</f>
        <v>0</v>
      </c>
      <c r="RZ18" s="767">
        <f>[1]Субсидия_факт!DJ12</f>
        <v>0</v>
      </c>
      <c r="SA18" s="783">
        <f t="shared" si="134"/>
        <v>0</v>
      </c>
      <c r="SB18" s="766"/>
      <c r="SC18" s="767"/>
      <c r="SD18" s="801">
        <f t="shared" si="135"/>
        <v>0</v>
      </c>
      <c r="SE18" s="766">
        <f>[1]Субсидия_факт!DL12</f>
        <v>0</v>
      </c>
      <c r="SF18" s="767">
        <f>[1]Субсидия_факт!DN12</f>
        <v>0</v>
      </c>
      <c r="SG18" s="1253">
        <f t="shared" si="136"/>
        <v>0</v>
      </c>
      <c r="SH18" s="789"/>
      <c r="SI18" s="793"/>
      <c r="SJ18" s="957">
        <f t="shared" si="238"/>
        <v>0</v>
      </c>
      <c r="SK18" s="763">
        <f>[1]Субсидия_факт!BJ12</f>
        <v>0</v>
      </c>
      <c r="SL18" s="766">
        <f>[1]Субсидия_факт!BF12</f>
        <v>0</v>
      </c>
      <c r="SM18" s="793">
        <f>[1]Субсидия_факт!BH12</f>
        <v>0</v>
      </c>
      <c r="SN18" s="957">
        <f t="shared" si="137"/>
        <v>0</v>
      </c>
      <c r="SO18" s="795"/>
      <c r="SP18" s="789"/>
      <c r="SQ18" s="793"/>
      <c r="SR18" s="801">
        <f t="shared" si="138"/>
        <v>0</v>
      </c>
      <c r="SS18" s="766">
        <f>[1]Субсидия_факт!AD12</f>
        <v>0</v>
      </c>
      <c r="ST18" s="767">
        <f>[1]Субсидия_факт!AF12</f>
        <v>0</v>
      </c>
      <c r="SU18" s="957">
        <f t="shared" si="139"/>
        <v>0</v>
      </c>
      <c r="SV18" s="789"/>
      <c r="SW18" s="793"/>
      <c r="SX18" s="801">
        <f t="shared" si="239"/>
        <v>0</v>
      </c>
      <c r="SY18" s="766">
        <f>[1]Субсидия_факт!ID12</f>
        <v>0</v>
      </c>
      <c r="SZ18" s="767">
        <f>[1]Субсидия_факт!IJ12</f>
        <v>0</v>
      </c>
      <c r="TA18" s="789">
        <f>[1]Субсидия_факт!IP12</f>
        <v>0</v>
      </c>
      <c r="TB18" s="767">
        <f>[1]Субсидия_факт!IV12</f>
        <v>0</v>
      </c>
      <c r="TC18" s="1028">
        <f>[1]Субсидия_факт!JZ12</f>
        <v>0</v>
      </c>
      <c r="TD18" s="793">
        <f>[1]Субсидия_факт!KF12</f>
        <v>0</v>
      </c>
      <c r="TE18" s="957">
        <f t="shared" si="140"/>
        <v>0</v>
      </c>
      <c r="TF18" s="1162"/>
      <c r="TG18" s="794"/>
      <c r="TH18" s="1162"/>
      <c r="TI18" s="794"/>
      <c r="TJ18" s="1028"/>
      <c r="TK18" s="793"/>
      <c r="TL18" s="801">
        <f t="shared" si="141"/>
        <v>20246751.960000001</v>
      </c>
      <c r="TM18" s="766">
        <f>[1]Субсидия_факт!IF12</f>
        <v>1012337.620000001</v>
      </c>
      <c r="TN18" s="767">
        <f>[1]Субсидия_факт!IL12</f>
        <v>19234414.34</v>
      </c>
      <c r="TO18" s="789">
        <f>[1]Субсидия_факт!IR12</f>
        <v>0</v>
      </c>
      <c r="TP18" s="767">
        <f>[1]Субсидия_факт!IX12</f>
        <v>0</v>
      </c>
      <c r="TQ18" s="789">
        <f>[1]Субсидия_факт!KB12</f>
        <v>0</v>
      </c>
      <c r="TR18" s="767">
        <f>[1]Субсидия_факт!KH12</f>
        <v>0</v>
      </c>
      <c r="TS18" s="957">
        <f t="shared" si="142"/>
        <v>985508.8899999999</v>
      </c>
      <c r="TT18" s="770">
        <v>49275.439999999995</v>
      </c>
      <c r="TU18" s="794">
        <v>936233.45</v>
      </c>
      <c r="TV18" s="1028"/>
      <c r="TW18" s="794"/>
      <c r="TX18" s="770"/>
      <c r="TY18" s="794"/>
      <c r="TZ18" s="783">
        <f t="shared" si="143"/>
        <v>-1700742.64</v>
      </c>
      <c r="UA18" s="766">
        <f t="shared" si="144"/>
        <v>0</v>
      </c>
      <c r="UB18" s="767">
        <f t="shared" si="144"/>
        <v>0</v>
      </c>
      <c r="UC18" s="766">
        <f t="shared" si="144"/>
        <v>-85037.129999999888</v>
      </c>
      <c r="UD18" s="767">
        <f t="shared" si="144"/>
        <v>-1615705.51</v>
      </c>
      <c r="UE18" s="789">
        <f t="shared" si="144"/>
        <v>0</v>
      </c>
      <c r="UF18" s="767">
        <f t="shared" si="144"/>
        <v>0</v>
      </c>
      <c r="UG18" s="783">
        <f t="shared" si="145"/>
        <v>0</v>
      </c>
      <c r="UH18" s="766">
        <f t="shared" si="146"/>
        <v>0</v>
      </c>
      <c r="UI18" s="767">
        <f t="shared" si="146"/>
        <v>0</v>
      </c>
      <c r="UJ18" s="766">
        <f t="shared" si="146"/>
        <v>0</v>
      </c>
      <c r="UK18" s="767">
        <f t="shared" si="146"/>
        <v>0</v>
      </c>
      <c r="UL18" s="789">
        <f t="shared" si="146"/>
        <v>0</v>
      </c>
      <c r="UM18" s="767">
        <f t="shared" si="146"/>
        <v>0</v>
      </c>
      <c r="UN18" s="1235">
        <f t="shared" si="147"/>
        <v>21947494.600000001</v>
      </c>
      <c r="UO18" s="766">
        <f>[1]Субсидия_факт!IH12</f>
        <v>1012337.620000001</v>
      </c>
      <c r="UP18" s="767">
        <f>[1]Субсидия_факт!IN12</f>
        <v>19234414.34</v>
      </c>
      <c r="UQ18" s="789">
        <f>[1]Субсидия_факт!IT12</f>
        <v>85037.129999999888</v>
      </c>
      <c r="UR18" s="767">
        <f>[1]Субсидия_факт!IZ12</f>
        <v>1615705.51</v>
      </c>
      <c r="US18" s="789">
        <f>[1]Субсидия_факт!KD12</f>
        <v>0</v>
      </c>
      <c r="UT18" s="767">
        <f>[1]Субсидия_факт!KJ12</f>
        <v>0</v>
      </c>
      <c r="UU18" s="783">
        <f t="shared" si="148"/>
        <v>985508.8899999999</v>
      </c>
      <c r="UV18" s="1028">
        <f>TT18</f>
        <v>49275.439999999995</v>
      </c>
      <c r="UW18" s="794">
        <f>TU18</f>
        <v>936233.45</v>
      </c>
      <c r="UX18" s="1028"/>
      <c r="UY18" s="794"/>
      <c r="UZ18" s="1028"/>
      <c r="VA18" s="794"/>
      <c r="VB18" s="957">
        <f>'Прочая  субсидия_МР  и  ГО'!B13</f>
        <v>135612978.10000002</v>
      </c>
      <c r="VC18" s="957">
        <f>'Прочая  субсидия_МР  и  ГО'!C13</f>
        <v>58967899.860000007</v>
      </c>
      <c r="VD18" s="1234">
        <f>'Прочая  субсидия_БП'!B13</f>
        <v>10705562.93</v>
      </c>
      <c r="VE18" s="801">
        <f>'Прочая  субсидия_БП'!C13</f>
        <v>8956447.3300000001</v>
      </c>
      <c r="VF18" s="1255">
        <f>'Прочая  субсидия_БП'!D13</f>
        <v>256389.50999999992</v>
      </c>
      <c r="VG18" s="1248">
        <f>'Прочая  субсидия_БП'!E13</f>
        <v>130462.04000000004</v>
      </c>
      <c r="VH18" s="1249">
        <f>'Прочая  субсидия_БП'!F13</f>
        <v>10449173.42</v>
      </c>
      <c r="VI18" s="1255">
        <f>'Прочая  субсидия_БП'!G13</f>
        <v>8825985.290000001</v>
      </c>
      <c r="VJ18" s="801">
        <f t="shared" si="149"/>
        <v>474858646.92000008</v>
      </c>
      <c r="VK18" s="770">
        <f>'Проверочная  таблица'!WM18+'Проверочная  таблица'!VP18+'Проверочная  таблица'!VR18+WG18</f>
        <v>459542611.5200001</v>
      </c>
      <c r="VL18" s="795">
        <f>'Проверочная  таблица'!WN18+'Проверочная  таблица'!VV18+'Проверочная  таблица'!WB18+'Проверочная  таблица'!VX18+'Проверочная  таблица'!VZ18+WD18+WH18+VT18</f>
        <v>15316035.4</v>
      </c>
      <c r="VM18" s="957">
        <f t="shared" si="150"/>
        <v>248140078.01000002</v>
      </c>
      <c r="VN18" s="770">
        <f>'Проверочная  таблица'!WP18+'Проверочная  таблица'!VQ18+'Проверочная  таблица'!VS18+WJ18</f>
        <v>241216473.88000003</v>
      </c>
      <c r="VO18" s="795">
        <f>'Проверочная  таблица'!WQ18+'Проверочная  таблица'!VW18+'Проверочная  таблица'!WC18+'Проверочная  таблица'!VY18+'Проверочная  таблица'!WA18+WE18+WK18+VU18</f>
        <v>6923604.1299999999</v>
      </c>
      <c r="VP18" s="1253">
        <f>'Субвенция  на  полномочия'!B13</f>
        <v>424992698.4600001</v>
      </c>
      <c r="VQ18" s="1234">
        <f>'Субвенция  на  полномочия'!C13</f>
        <v>225956949.55000001</v>
      </c>
      <c r="VR18" s="790">
        <f>[1]Субвенция_факт!M11*1000</f>
        <v>28783613</v>
      </c>
      <c r="VS18" s="796">
        <v>12200000</v>
      </c>
      <c r="VT18" s="790">
        <f>[1]Субвенция_факт!AE11*1000</f>
        <v>0</v>
      </c>
      <c r="VU18" s="796"/>
      <c r="VV18" s="790">
        <f>[1]Субвенция_факт!AF11*1000</f>
        <v>2100700</v>
      </c>
      <c r="VW18" s="796">
        <f>ВУС!E26</f>
        <v>730707.38</v>
      </c>
      <c r="VX18" s="1256">
        <f>[1]Субвенция_факт!AG11*1000</f>
        <v>0</v>
      </c>
      <c r="VY18" s="797"/>
      <c r="VZ18" s="792">
        <f>[1]Субвенция_факт!E11*1000</f>
        <v>0</v>
      </c>
      <c r="WA18" s="797"/>
      <c r="WB18" s="792">
        <f>[1]Субвенция_факт!F11*1000</f>
        <v>1553000</v>
      </c>
      <c r="WC18" s="797"/>
      <c r="WD18" s="791">
        <f>[1]Субвенция_факт!G11*1000</f>
        <v>0</v>
      </c>
      <c r="WE18" s="796"/>
      <c r="WF18" s="801">
        <f t="shared" si="151"/>
        <v>14199101.890000001</v>
      </c>
      <c r="WG18" s="766">
        <f>[1]Субвенция_факт!P11*1000</f>
        <v>3691766.49</v>
      </c>
      <c r="WH18" s="767">
        <f>[1]Субвенция_факт!Q11*1000</f>
        <v>10507335.4</v>
      </c>
      <c r="WI18" s="957">
        <f t="shared" si="152"/>
        <v>7844324.3300000001</v>
      </c>
      <c r="WJ18" s="770">
        <v>2039524.33</v>
      </c>
      <c r="WK18" s="798">
        <v>5804800</v>
      </c>
      <c r="WL18" s="957">
        <f t="shared" si="153"/>
        <v>3229533.5700000003</v>
      </c>
      <c r="WM18" s="799">
        <f>[1]Субвенция_факт!X11*1000</f>
        <v>2074533.57</v>
      </c>
      <c r="WN18" s="800">
        <f>[1]Субвенция_факт!W11*1000</f>
        <v>1155000</v>
      </c>
      <c r="WO18" s="957">
        <f t="shared" si="154"/>
        <v>1408096.75</v>
      </c>
      <c r="WP18" s="770">
        <v>1020000</v>
      </c>
      <c r="WQ18" s="798">
        <v>388096.75</v>
      </c>
      <c r="WR18" s="957">
        <f t="shared" si="240"/>
        <v>223808853.41</v>
      </c>
      <c r="WS18" s="957">
        <f t="shared" si="241"/>
        <v>40494163.789999999</v>
      </c>
      <c r="WT18" s="1253">
        <f t="shared" si="155"/>
        <v>0</v>
      </c>
      <c r="WU18" s="799">
        <f>'[1]Иные межбюджетные трансферты'!AM12</f>
        <v>0</v>
      </c>
      <c r="WV18" s="800">
        <f>'[1]Иные межбюджетные трансферты'!AO12</f>
        <v>0</v>
      </c>
      <c r="WW18" s="1253">
        <f t="shared" si="156"/>
        <v>0</v>
      </c>
      <c r="WX18" s="799"/>
      <c r="WY18" s="800"/>
      <c r="WZ18" s="957">
        <f t="shared" si="157"/>
        <v>1348095.69</v>
      </c>
      <c r="XA18" s="799">
        <f>'[1]Иные межбюджетные трансферты'!AI12</f>
        <v>67404.78</v>
      </c>
      <c r="XB18" s="800">
        <f>'[1]Иные межбюджетные трансферты'!AK12</f>
        <v>1280690.9099999999</v>
      </c>
      <c r="XC18" s="957">
        <f t="shared" si="158"/>
        <v>797730.69000000006</v>
      </c>
      <c r="XD18" s="799">
        <v>39886.550000000003</v>
      </c>
      <c r="XE18" s="800">
        <v>757844.14</v>
      </c>
      <c r="XF18" s="957">
        <f t="shared" si="159"/>
        <v>15744768</v>
      </c>
      <c r="XG18" s="799">
        <f>'[1]Иные межбюджетные трансферты'!I12</f>
        <v>0</v>
      </c>
      <c r="XH18" s="800">
        <f>'[1]Иные межбюджетные трансферты'!K12</f>
        <v>15744768</v>
      </c>
      <c r="XI18" s="957">
        <f t="shared" si="242"/>
        <v>15690000</v>
      </c>
      <c r="XJ18" s="786"/>
      <c r="XK18" s="800">
        <v>15690000</v>
      </c>
      <c r="XL18" s="957">
        <f t="shared" si="161"/>
        <v>0</v>
      </c>
      <c r="XM18" s="789"/>
      <c r="XN18" s="957">
        <f t="shared" si="162"/>
        <v>0</v>
      </c>
      <c r="XO18" s="789"/>
      <c r="XP18" s="801">
        <f t="shared" si="163"/>
        <v>120669638.52000001</v>
      </c>
      <c r="XQ18" s="766">
        <f>'[1]Иные межбюджетные трансферты'!M12</f>
        <v>120669638.52000001</v>
      </c>
      <c r="XR18" s="957">
        <f t="shared" si="164"/>
        <v>0</v>
      </c>
      <c r="XS18" s="770"/>
      <c r="XT18" s="1252">
        <f t="shared" si="165"/>
        <v>0</v>
      </c>
      <c r="XU18" s="783">
        <f t="shared" si="166"/>
        <v>0</v>
      </c>
      <c r="XV18" s="1252">
        <f t="shared" si="167"/>
        <v>120669638.52000001</v>
      </c>
      <c r="XW18" s="783">
        <f t="shared" si="168"/>
        <v>0</v>
      </c>
      <c r="XX18" s="957">
        <f t="shared" si="243"/>
        <v>75166307.230000004</v>
      </c>
      <c r="XY18" s="787">
        <f>'[1]Иные межбюджетные трансферты'!E12</f>
        <v>0</v>
      </c>
      <c r="XZ18" s="799">
        <f>'[1]Иные межбюджетные трансферты'!G12</f>
        <v>23392389</v>
      </c>
      <c r="YA18" s="786">
        <f>'[1]Иные межбюджетные трансферты'!Q12</f>
        <v>0</v>
      </c>
      <c r="YB18" s="787">
        <f>'[1]Иные межбюджетные трансферты'!W12</f>
        <v>0</v>
      </c>
      <c r="YC18" s="786">
        <f>'[1]Иные межбюджетные трансферты'!Y12</f>
        <v>18517240</v>
      </c>
      <c r="YD18" s="1116">
        <f>'[1]Иные межбюджетные трансферты'!AE12</f>
        <v>29878876</v>
      </c>
      <c r="YE18" s="786">
        <f>'[1]Иные межбюджетные трансферты'!AQ12</f>
        <v>0</v>
      </c>
      <c r="YF18" s="766">
        <f>'[1]Иные межбюджетные трансферты'!AW12</f>
        <v>0</v>
      </c>
      <c r="YG18" s="786">
        <f>'[1]Иные межбюджетные трансферты'!AY12</f>
        <v>0</v>
      </c>
      <c r="YH18" s="1116">
        <f>'[1]Иные межбюджетные трансферты'!BA12</f>
        <v>3377802.23</v>
      </c>
      <c r="YI18" s="957">
        <f t="shared" si="244"/>
        <v>20241133.100000001</v>
      </c>
      <c r="YJ18" s="786"/>
      <c r="YK18" s="786"/>
      <c r="YL18" s="755"/>
      <c r="YM18" s="786"/>
      <c r="YN18" s="751">
        <f t="shared" si="245"/>
        <v>18517240</v>
      </c>
      <c r="YO18" s="751"/>
      <c r="YP18" s="751"/>
      <c r="YQ18" s="751"/>
      <c r="YR18" s="751"/>
      <c r="YS18" s="751">
        <v>1723893.1</v>
      </c>
      <c r="YT18" s="957">
        <f t="shared" si="169"/>
        <v>10880043.969999999</v>
      </c>
      <c r="YU18" s="799">
        <f>'[1]Иные межбюджетные трансферты'!S12</f>
        <v>474539</v>
      </c>
      <c r="YV18" s="786">
        <f>'[1]Иные межбюджетные трансферты'!AA12</f>
        <v>3765300</v>
      </c>
      <c r="YW18" s="1116">
        <f>'[1]Иные межбюджетные трансферты'!AG12</f>
        <v>0</v>
      </c>
      <c r="YX18" s="787">
        <f>'[1]Иные межбюджетные трансферты'!AS12</f>
        <v>2754775.3</v>
      </c>
      <c r="YY18" s="751">
        <f>'[1]Иные межбюджетные трансферты'!BC12</f>
        <v>3885429.67</v>
      </c>
      <c r="YZ18" s="957">
        <f t="shared" si="170"/>
        <v>3765300</v>
      </c>
      <c r="ZA18" s="769"/>
      <c r="ZB18" s="769">
        <f t="shared" ref="ZB18:ZB30" si="246">YV18</f>
        <v>3765300</v>
      </c>
      <c r="ZC18" s="769"/>
      <c r="ZD18" s="751"/>
      <c r="ZE18" s="751"/>
      <c r="ZF18" s="783">
        <f t="shared" si="171"/>
        <v>7114743.9699999997</v>
      </c>
      <c r="ZG18" s="763">
        <f>'Проверочная  таблица'!YU18-ZS18</f>
        <v>474539</v>
      </c>
      <c r="ZH18" s="763">
        <f>'Проверочная  таблица'!YV18-ZT18</f>
        <v>0</v>
      </c>
      <c r="ZI18" s="763">
        <f>'Проверочная  таблица'!YW18-ZU18</f>
        <v>0</v>
      </c>
      <c r="ZJ18" s="763">
        <f>'Проверочная  таблица'!YX18-ZV18</f>
        <v>2754775.3</v>
      </c>
      <c r="ZK18" s="763">
        <f>'Проверочная  таблица'!YY18-ZW18</f>
        <v>3885429.67</v>
      </c>
      <c r="ZL18" s="783">
        <f t="shared" si="172"/>
        <v>0</v>
      </c>
      <c r="ZM18" s="763">
        <f>'Проверочная  таблица'!ZA18-ZY18</f>
        <v>0</v>
      </c>
      <c r="ZN18" s="763">
        <f>'Проверочная  таблица'!ZB18-ZZ18</f>
        <v>0</v>
      </c>
      <c r="ZO18" s="763">
        <f>'Проверочная  таблица'!ZC18-AAA18</f>
        <v>0</v>
      </c>
      <c r="ZP18" s="763">
        <f>'Проверочная  таблица'!ZD18-AAB18</f>
        <v>0</v>
      </c>
      <c r="ZQ18" s="763">
        <f>'Проверочная  таблица'!ZE18-AAC18</f>
        <v>0</v>
      </c>
      <c r="ZR18" s="783">
        <f t="shared" si="173"/>
        <v>3765300</v>
      </c>
      <c r="ZS18" s="799">
        <f>'[1]Иные межбюджетные трансферты'!U12</f>
        <v>0</v>
      </c>
      <c r="ZT18" s="786">
        <f>'[1]Иные межбюджетные трансферты'!AC12</f>
        <v>3765300</v>
      </c>
      <c r="ZU18" s="787"/>
      <c r="ZV18" s="799">
        <f>'[1]Иные межбюджетные трансферты'!AU12</f>
        <v>0</v>
      </c>
      <c r="ZW18" s="751">
        <f>'[1]Иные межбюджетные трансферты'!$BE$12</f>
        <v>0</v>
      </c>
      <c r="ZX18" s="783">
        <f t="shared" si="174"/>
        <v>3765300</v>
      </c>
      <c r="ZY18" s="769"/>
      <c r="ZZ18" s="769">
        <f t="shared" ref="ZZ18:ZZ30" si="247">ZB18</f>
        <v>3765300</v>
      </c>
      <c r="AAA18" s="769"/>
      <c r="AAB18" s="751"/>
      <c r="AAC18" s="751"/>
      <c r="AAD18" s="957">
        <f>AAF18+'Проверочная  таблица'!AAN18+AAJ18+'Проверочная  таблица'!AAR18+AAL18+'Проверочная  таблица'!AAT18</f>
        <v>-20300000</v>
      </c>
      <c r="AAE18" s="957">
        <f>AAG18+'Проверочная  таблица'!AAO18+AAK18+'Проверочная  таблица'!AAS18+AAM18+'Проверочная  таблица'!AAU18</f>
        <v>0</v>
      </c>
      <c r="AAF18" s="801"/>
      <c r="AAG18" s="801"/>
      <c r="AAH18" s="801"/>
      <c r="AAI18" s="801"/>
      <c r="AAJ18" s="1235">
        <f t="shared" si="175"/>
        <v>0</v>
      </c>
      <c r="AAK18" s="783">
        <f t="shared" si="175"/>
        <v>0</v>
      </c>
      <c r="AAL18" s="802"/>
      <c r="AAM18" s="783"/>
      <c r="AAN18" s="801">
        <v>-20000000</v>
      </c>
      <c r="AAO18" s="801"/>
      <c r="AAP18" s="801">
        <v>-300000</v>
      </c>
      <c r="AAQ18" s="801"/>
      <c r="AAR18" s="1235">
        <f t="shared" si="176"/>
        <v>-300000</v>
      </c>
      <c r="AAS18" s="783">
        <f t="shared" si="176"/>
        <v>0</v>
      </c>
      <c r="AAT18" s="783"/>
      <c r="AAU18" s="783"/>
      <c r="AAV18" s="1246">
        <f>'Проверочная  таблица'!AAN18+'Проверочная  таблица'!AAP18</f>
        <v>-20300000</v>
      </c>
      <c r="AAW18" s="1246">
        <f>'Проверочная  таблица'!AAO18+'Проверочная  таблица'!AAQ18</f>
        <v>0</v>
      </c>
    </row>
    <row r="19" spans="1:725" ht="24" customHeight="1" x14ac:dyDescent="0.25">
      <c r="A19" s="784" t="s">
        <v>1307</v>
      </c>
      <c r="B19" s="801">
        <f>D19+AN19+'Проверочная  таблица'!VJ19+'Проверочная  таблица'!WR19</f>
        <v>1119140932.4700003</v>
      </c>
      <c r="C19" s="957">
        <f>E19+'Проверочная  таблица'!VM19+AO19+'Проверочная  таблица'!WS19</f>
        <v>350987725.00999999</v>
      </c>
      <c r="D19" s="1234">
        <f t="shared" si="0"/>
        <v>197510134.72999999</v>
      </c>
      <c r="E19" s="801">
        <f t="shared" si="1"/>
        <v>49169092.380000003</v>
      </c>
      <c r="F19" s="1238">
        <f>'[1]Дотация  из  ОБ_факт'!M11</f>
        <v>21614223</v>
      </c>
      <c r="G19" s="1247">
        <v>10807111</v>
      </c>
      <c r="H19" s="1238">
        <f>'[1]Дотация  из  ОБ_факт'!G11</f>
        <v>32179313.73</v>
      </c>
      <c r="I19" s="1247">
        <v>16089649.619999999</v>
      </c>
      <c r="J19" s="1248">
        <f t="shared" si="2"/>
        <v>32179313.73</v>
      </c>
      <c r="K19" s="1249">
        <f t="shared" si="2"/>
        <v>16089649.619999999</v>
      </c>
      <c r="L19" s="1248">
        <f>'[1]Дотация  из  ОБ_факт'!K11</f>
        <v>0</v>
      </c>
      <c r="M19" s="785"/>
      <c r="N19" s="1238">
        <f>'[1]Дотация  из  ОБ_факт'!Q11</f>
        <v>0</v>
      </c>
      <c r="O19" s="1247"/>
      <c r="P19" s="1238">
        <f>'[1]Дотация  из  ОБ_факт'!S11</f>
        <v>141544673</v>
      </c>
      <c r="Q19" s="1247">
        <v>20772331.760000002</v>
      </c>
      <c r="R19" s="1248">
        <f t="shared" si="3"/>
        <v>141544673</v>
      </c>
      <c r="S19" s="1249">
        <f t="shared" si="3"/>
        <v>20772331.760000002</v>
      </c>
      <c r="T19" s="1248">
        <f>'[1]Дотация  из  ОБ_факт'!W11</f>
        <v>0</v>
      </c>
      <c r="U19" s="785"/>
      <c r="V19" s="790">
        <f t="shared" si="4"/>
        <v>1500000</v>
      </c>
      <c r="W19" s="1250">
        <f>'[1]Дотация  из  ОБ_факт'!AA11</f>
        <v>1500000</v>
      </c>
      <c r="X19" s="1251">
        <f>'[1]Дотация  из  ОБ_факт'!AC11</f>
        <v>0</v>
      </c>
      <c r="Y19" s="1251">
        <f>'[1]Дотация  из  ОБ_факт'!AG11</f>
        <v>0</v>
      </c>
      <c r="Z19" s="791">
        <f t="shared" si="5"/>
        <v>1500000</v>
      </c>
      <c r="AA19" s="751">
        <f t="shared" si="180"/>
        <v>1500000</v>
      </c>
      <c r="AB19" s="751">
        <f t="shared" si="180"/>
        <v>0</v>
      </c>
      <c r="AC19" s="786"/>
      <c r="AD19" s="790">
        <f t="shared" si="6"/>
        <v>671925</v>
      </c>
      <c r="AE19" s="1250">
        <f>'[1]Дотация  из  ОБ_факт'!Y11</f>
        <v>671925</v>
      </c>
      <c r="AF19" s="1251">
        <f>'[1]Дотация  из  ОБ_факт'!AE11</f>
        <v>0</v>
      </c>
      <c r="AG19" s="790">
        <f t="shared" si="7"/>
        <v>0</v>
      </c>
      <c r="AH19" s="787"/>
      <c r="AI19" s="786"/>
      <c r="AJ19" s="1248">
        <f t="shared" si="8"/>
        <v>671925</v>
      </c>
      <c r="AK19" s="1249">
        <f t="shared" si="9"/>
        <v>0</v>
      </c>
      <c r="AL19" s="1248">
        <f>'[1]Дотация  из  ОБ_факт'!AE11</f>
        <v>0</v>
      </c>
      <c r="AM19" s="788"/>
      <c r="AN19" s="919">
        <f>'Проверочная  таблица'!VB19+'Проверочная  таблица'!VD19+BT19+BV19+CH19+CJ19+BH19+BL19+'Проверочная  таблица'!NB19+'Проверочная  таблица'!NR19+'Проверочная  таблица'!EB19+'Проверочная  таблица'!OJ19+DT19+'Проверочная  таблица'!JR19+'Проверочная  таблица'!JX19+'Проверочная  таблица'!OR19+'Проверочная  таблица'!OZ19+JL19+AP19+AV19+FB19+FH19+CV19+SX19+EH19+TL19+QH19+EN19+EV19+LV19+MD19+SR19+GV19+SD19+RF19+KP19+KZ19+RL19+SJ19+CP19+QZ19+HL19+GF19+HR19+HX19+FZ19+DJ19+PX19+CB19+IP19+JF19+HD19+GL19+IV19</f>
        <v>408246854.29000008</v>
      </c>
      <c r="AO19" s="920">
        <f>'Проверочная  таблица'!VC19+'Проверочная  таблица'!VE19+BU19+BW19+CI19+CK19+BJ19+BN19+'Проверочная  таблица'!NJ19+'Проверочная  таблица'!NU19+'Проверочная  таблица'!EE19+'Проверочная  таблица'!ON19+DX19+'Проверочная  таблица'!JU19+'Проверочная  таблица'!KA19+'Проверочная  таблица'!OV19+'Проверочная  таблица'!PD19+JO19+AS19+AX19+FE19+FK19+DC19+TE19+EK19+TS19+QK19+ER19+EY19+LZ19+MH19+SU19+GZ19+SG19+RI19+KU19+LE19+RO19+SN19+CS19+RC19+HO19+GI19+HU19+IA19+GC19+DM19+QC19+CE19+IS19+JI19+HF19+GO19+IY19</f>
        <v>39732707.019999996</v>
      </c>
      <c r="AP19" s="921">
        <f t="shared" si="10"/>
        <v>72844900</v>
      </c>
      <c r="AQ19" s="789">
        <f>[1]Субсидия_факт!HV13</f>
        <v>53236900</v>
      </c>
      <c r="AR19" s="770">
        <f>[1]Субсидия_факт!MR13</f>
        <v>19608000</v>
      </c>
      <c r="AS19" s="921">
        <f t="shared" si="11"/>
        <v>940000</v>
      </c>
      <c r="AT19" s="770">
        <v>940000</v>
      </c>
      <c r="AU19" s="789"/>
      <c r="AV19" s="910">
        <f t="shared" si="12"/>
        <v>0</v>
      </c>
      <c r="AW19" s="770">
        <f>[1]Субсидия_факт!MV13</f>
        <v>0</v>
      </c>
      <c r="AX19" s="1224">
        <f t="shared" si="13"/>
        <v>0</v>
      </c>
      <c r="AY19" s="770"/>
      <c r="AZ19" s="1225">
        <f t="shared" si="14"/>
        <v>0</v>
      </c>
      <c r="BA19" s="770">
        <f t="shared" si="15"/>
        <v>0</v>
      </c>
      <c r="BB19" s="783">
        <f t="shared" si="16"/>
        <v>0</v>
      </c>
      <c r="BC19" s="789">
        <f t="shared" si="17"/>
        <v>0</v>
      </c>
      <c r="BD19" s="782">
        <f t="shared" si="18"/>
        <v>0</v>
      </c>
      <c r="BE19" s="770">
        <f>[1]Субсидия_факт!MX13</f>
        <v>0</v>
      </c>
      <c r="BF19" s="802">
        <f t="shared" si="19"/>
        <v>0</v>
      </c>
      <c r="BG19" s="770"/>
      <c r="BH19" s="801">
        <f t="shared" si="20"/>
        <v>50000000</v>
      </c>
      <c r="BI19" s="770">
        <f>[1]Субсидия_факт!KZ13</f>
        <v>50000000</v>
      </c>
      <c r="BJ19" s="957">
        <f t="shared" si="21"/>
        <v>0</v>
      </c>
      <c r="BK19" s="770"/>
      <c r="BL19" s="801">
        <f t="shared" si="22"/>
        <v>0</v>
      </c>
      <c r="BM19" s="770">
        <f>[1]Субсидия_факт!LB13</f>
        <v>0</v>
      </c>
      <c r="BN19" s="957">
        <f t="shared" si="23"/>
        <v>0</v>
      </c>
      <c r="BO19" s="770"/>
      <c r="BP19" s="1235">
        <f t="shared" si="24"/>
        <v>0</v>
      </c>
      <c r="BQ19" s="783">
        <f t="shared" si="25"/>
        <v>0</v>
      </c>
      <c r="BR19" s="1252">
        <f t="shared" si="26"/>
        <v>0</v>
      </c>
      <c r="BS19" s="1235">
        <f t="shared" si="27"/>
        <v>0</v>
      </c>
      <c r="BT19" s="801">
        <f>[1]Субсидия_факт!GV13</f>
        <v>0</v>
      </c>
      <c r="BU19" s="790"/>
      <c r="BV19" s="1253">
        <f>[1]Субсидия_факт!GX13</f>
        <v>0</v>
      </c>
      <c r="BW19" s="791"/>
      <c r="BX19" s="1252">
        <f t="shared" si="28"/>
        <v>0</v>
      </c>
      <c r="BY19" s="1235">
        <f t="shared" si="28"/>
        <v>0</v>
      </c>
      <c r="BZ19" s="783">
        <f>[1]Субсидия_факт!GZ13</f>
        <v>0</v>
      </c>
      <c r="CA19" s="785"/>
      <c r="CB19" s="846">
        <f t="shared" si="29"/>
        <v>93843900</v>
      </c>
      <c r="CC19" s="766">
        <f>[1]Субсидия_факт!HL13</f>
        <v>53236900</v>
      </c>
      <c r="CD19" s="770">
        <f>[1]Субсидия_факт!HN13</f>
        <v>40607000</v>
      </c>
      <c r="CE19" s="921">
        <f t="shared" si="30"/>
        <v>0</v>
      </c>
      <c r="CF19" s="770"/>
      <c r="CG19" s="770"/>
      <c r="CH19" s="957">
        <f>[1]Субсидия_факт!HB13</f>
        <v>0</v>
      </c>
      <c r="CI19" s="792"/>
      <c r="CJ19" s="957">
        <f>[1]Субсидия_факт!HD13</f>
        <v>0</v>
      </c>
      <c r="CK19" s="805"/>
      <c r="CL19" s="1226">
        <f t="shared" si="31"/>
        <v>0</v>
      </c>
      <c r="CM19" s="782">
        <f t="shared" si="31"/>
        <v>0</v>
      </c>
      <c r="CN19" s="1225">
        <f>[1]Субсидия_факт!HF13</f>
        <v>0</v>
      </c>
      <c r="CO19" s="753"/>
      <c r="CP19" s="846">
        <f t="shared" si="32"/>
        <v>26779017.289999999</v>
      </c>
      <c r="CQ19" s="766">
        <f>[1]Субсидия_факт!HP13</f>
        <v>0</v>
      </c>
      <c r="CR19" s="770">
        <f>[1]Субсидия_факт!HR13</f>
        <v>26779017.289999999</v>
      </c>
      <c r="CS19" s="921">
        <f t="shared" si="33"/>
        <v>0</v>
      </c>
      <c r="CT19" s="770"/>
      <c r="CU19" s="770"/>
      <c r="CV19" s="910">
        <f t="shared" si="34"/>
        <v>0</v>
      </c>
      <c r="CW19" s="763">
        <f>[1]Субсидия_факт!LR13</f>
        <v>0</v>
      </c>
      <c r="CX19" s="762">
        <f>[1]Субсидия_факт!LT13</f>
        <v>0</v>
      </c>
      <c r="CY19" s="754">
        <f>[1]Субсидия_факт!LV13</f>
        <v>0</v>
      </c>
      <c r="CZ19" s="762">
        <f>[1]Субсидия_факт!MB13</f>
        <v>0</v>
      </c>
      <c r="DA19" s="754">
        <f>[1]Субсидия_факт!MH13</f>
        <v>0</v>
      </c>
      <c r="DB19" s="762">
        <f>[1]Субсидия_факт!MJ13</f>
        <v>0</v>
      </c>
      <c r="DC19" s="910">
        <f t="shared" si="35"/>
        <v>0</v>
      </c>
      <c r="DD19" s="755"/>
      <c r="DE19" s="762"/>
      <c r="DF19" s="754"/>
      <c r="DG19" s="762"/>
      <c r="DH19" s="754"/>
      <c r="DI19" s="762"/>
      <c r="DJ19" s="920">
        <f t="shared" si="205"/>
        <v>0</v>
      </c>
      <c r="DK19" s="763">
        <f>[1]Субсидия_факт!LX13</f>
        <v>0</v>
      </c>
      <c r="DL19" s="762">
        <f>[1]Субсидия_факт!MD13</f>
        <v>0</v>
      </c>
      <c r="DM19" s="910">
        <f t="shared" si="37"/>
        <v>0</v>
      </c>
      <c r="DN19" s="763"/>
      <c r="DO19" s="764"/>
      <c r="DP19" s="1226">
        <f t="shared" si="206"/>
        <v>0</v>
      </c>
      <c r="DQ19" s="782">
        <f t="shared" si="207"/>
        <v>0</v>
      </c>
      <c r="DR19" s="1225">
        <f t="shared" si="208"/>
        <v>0</v>
      </c>
      <c r="DS19" s="753">
        <f t="shared" si="209"/>
        <v>0</v>
      </c>
      <c r="DT19" s="957">
        <f t="shared" si="210"/>
        <v>0</v>
      </c>
      <c r="DU19" s="789">
        <f>[1]Субсидия_факт!R13</f>
        <v>0</v>
      </c>
      <c r="DV19" s="766">
        <f>[1]Субсидия_факт!T13</f>
        <v>0</v>
      </c>
      <c r="DW19" s="770">
        <f>[1]Субсидия_факт!V13</f>
        <v>0</v>
      </c>
      <c r="DX19" s="957">
        <f t="shared" si="211"/>
        <v>0</v>
      </c>
      <c r="DY19" s="806"/>
      <c r="DZ19" s="806"/>
      <c r="EA19" s="806"/>
      <c r="EB19" s="846">
        <f t="shared" si="38"/>
        <v>0</v>
      </c>
      <c r="EC19" s="766">
        <f>[1]Субсидия_факт!AX13</f>
        <v>0</v>
      </c>
      <c r="ED19" s="767">
        <f>[1]Субсидия_факт!AZ13</f>
        <v>0</v>
      </c>
      <c r="EE19" s="957">
        <f t="shared" si="39"/>
        <v>0</v>
      </c>
      <c r="EF19" s="789"/>
      <c r="EG19" s="793"/>
      <c r="EH19" s="801">
        <f t="shared" si="40"/>
        <v>0</v>
      </c>
      <c r="EI19" s="766">
        <f>[1]Субсидия_факт!X13</f>
        <v>0</v>
      </c>
      <c r="EJ19" s="767">
        <f>[1]Субсидия_факт!Z13</f>
        <v>0</v>
      </c>
      <c r="EK19" s="957">
        <f t="shared" si="41"/>
        <v>0</v>
      </c>
      <c r="EL19" s="766"/>
      <c r="EM19" s="767"/>
      <c r="EN19" s="920">
        <f t="shared" si="212"/>
        <v>0</v>
      </c>
      <c r="EO19" s="763">
        <f>[1]Субсидия_факт!AP13</f>
        <v>0</v>
      </c>
      <c r="EP19" s="763">
        <f>[1]Субсидия_факт!AL13</f>
        <v>0</v>
      </c>
      <c r="EQ19" s="764">
        <f>[1]Субсидия_факт!AN13</f>
        <v>0</v>
      </c>
      <c r="ER19" s="920">
        <f t="shared" si="42"/>
        <v>0</v>
      </c>
      <c r="ES19" s="763"/>
      <c r="ET19" s="763"/>
      <c r="EU19" s="764"/>
      <c r="EV19" s="920">
        <f t="shared" si="43"/>
        <v>0</v>
      </c>
      <c r="EW19" s="763">
        <f>[1]Субсидия_факт!HH13</f>
        <v>0</v>
      </c>
      <c r="EX19" s="762">
        <f>[1]Субсидия_факт!HJ13</f>
        <v>0</v>
      </c>
      <c r="EY19" s="910">
        <f t="shared" si="44"/>
        <v>0</v>
      </c>
      <c r="EZ19" s="763"/>
      <c r="FA19" s="762"/>
      <c r="FB19" s="920">
        <f t="shared" si="45"/>
        <v>0</v>
      </c>
      <c r="FC19" s="766">
        <f>[1]Субсидия_факт!PK13</f>
        <v>0</v>
      </c>
      <c r="FD19" s="767">
        <f>[1]Субсидия_факт!PQ13</f>
        <v>0</v>
      </c>
      <c r="FE19" s="910">
        <f t="shared" si="46"/>
        <v>0</v>
      </c>
      <c r="FF19" s="763"/>
      <c r="FG19" s="764"/>
      <c r="FH19" s="920">
        <f t="shared" si="47"/>
        <v>0</v>
      </c>
      <c r="FI19" s="763">
        <f>[1]Субсидия_факт!PM13</f>
        <v>0</v>
      </c>
      <c r="FJ19" s="762">
        <f>[1]Субсидия_факт!PS13</f>
        <v>0</v>
      </c>
      <c r="FK19" s="910">
        <f t="shared" si="48"/>
        <v>0</v>
      </c>
      <c r="FL19" s="763"/>
      <c r="FM19" s="764"/>
      <c r="FN19" s="1233">
        <f t="shared" si="49"/>
        <v>0</v>
      </c>
      <c r="FO19" s="763">
        <f t="shared" si="50"/>
        <v>0</v>
      </c>
      <c r="FP19" s="762">
        <f t="shared" si="50"/>
        <v>0</v>
      </c>
      <c r="FQ19" s="782">
        <f t="shared" si="51"/>
        <v>0</v>
      </c>
      <c r="FR19" s="763">
        <f t="shared" si="52"/>
        <v>0</v>
      </c>
      <c r="FS19" s="762">
        <f t="shared" si="52"/>
        <v>0</v>
      </c>
      <c r="FT19" s="1233">
        <f t="shared" si="53"/>
        <v>0</v>
      </c>
      <c r="FU19" s="763">
        <f>[1]Субсидия_факт!PO13</f>
        <v>0</v>
      </c>
      <c r="FV19" s="762">
        <f>[1]Субсидия_факт!PU13</f>
        <v>0</v>
      </c>
      <c r="FW19" s="782">
        <f t="shared" si="54"/>
        <v>0</v>
      </c>
      <c r="FX19" s="763"/>
      <c r="FY19" s="764"/>
      <c r="FZ19" s="920">
        <f t="shared" si="55"/>
        <v>0</v>
      </c>
      <c r="GA19" s="766">
        <f>[1]Субсидия_факт!EP13</f>
        <v>0</v>
      </c>
      <c r="GB19" s="767">
        <f>[1]Субсидия_факт!ER13</f>
        <v>0</v>
      </c>
      <c r="GC19" s="1234">
        <f t="shared" si="56"/>
        <v>0</v>
      </c>
      <c r="GD19" s="766"/>
      <c r="GE19" s="767"/>
      <c r="GF19" s="801">
        <f t="shared" si="57"/>
        <v>0</v>
      </c>
      <c r="GG19" s="766">
        <f>[1]Субсидия_факт!JN13</f>
        <v>0</v>
      </c>
      <c r="GH19" s="767">
        <f>[1]Субсидия_факт!JP13</f>
        <v>0</v>
      </c>
      <c r="GI19" s="801">
        <f t="shared" si="58"/>
        <v>0</v>
      </c>
      <c r="GJ19" s="766"/>
      <c r="GK19" s="767"/>
      <c r="GL19" s="1235">
        <f t="shared" si="59"/>
        <v>0</v>
      </c>
      <c r="GM19" s="763">
        <f>[1]Субсидия_факт!JR13</f>
        <v>0</v>
      </c>
      <c r="GN19" s="764">
        <f>[1]Субсидия_факт!JV13</f>
        <v>0</v>
      </c>
      <c r="GO19" s="1235">
        <f t="shared" si="60"/>
        <v>0</v>
      </c>
      <c r="GP19" s="766"/>
      <c r="GQ19" s="793"/>
      <c r="GR19" s="1235">
        <f t="shared" si="213"/>
        <v>0</v>
      </c>
      <c r="GS19" s="783">
        <f t="shared" si="214"/>
        <v>0</v>
      </c>
      <c r="GT19" s="1252">
        <f t="shared" si="215"/>
        <v>0</v>
      </c>
      <c r="GU19" s="783">
        <f t="shared" si="216"/>
        <v>0</v>
      </c>
      <c r="GV19" s="1234">
        <f t="shared" si="61"/>
        <v>0</v>
      </c>
      <c r="GW19" s="766">
        <f>[1]Субсидия_факт!KL13</f>
        <v>0</v>
      </c>
      <c r="GX19" s="767">
        <f>[1]Субсидия_факт!KN13</f>
        <v>0</v>
      </c>
      <c r="GY19" s="766">
        <f>[1]Субсидия_факт!KP13</f>
        <v>0</v>
      </c>
      <c r="GZ19" s="801">
        <f t="shared" si="62"/>
        <v>0</v>
      </c>
      <c r="HA19" s="766"/>
      <c r="HB19" s="767"/>
      <c r="HC19" s="770"/>
      <c r="HD19" s="1235">
        <f t="shared" si="217"/>
        <v>0</v>
      </c>
      <c r="HE19" s="766">
        <f>[1]Субсидия_факт!KR13</f>
        <v>0</v>
      </c>
      <c r="HF19" s="1235">
        <f t="shared" si="217"/>
        <v>0</v>
      </c>
      <c r="HG19" s="770"/>
      <c r="HH19" s="1235">
        <f t="shared" si="218"/>
        <v>0</v>
      </c>
      <c r="HI19" s="1235">
        <f t="shared" si="219"/>
        <v>0</v>
      </c>
      <c r="HJ19" s="1235">
        <f t="shared" si="220"/>
        <v>0</v>
      </c>
      <c r="HK19" s="1235">
        <f t="shared" si="221"/>
        <v>0</v>
      </c>
      <c r="HL19" s="801">
        <f t="shared" si="63"/>
        <v>0</v>
      </c>
      <c r="HM19" s="766">
        <f>[1]Субсидия_факт!KV13</f>
        <v>0</v>
      </c>
      <c r="HN19" s="767">
        <f>[1]Субсидия_факт!KX13</f>
        <v>0</v>
      </c>
      <c r="HO19" s="957">
        <f t="shared" si="64"/>
        <v>0</v>
      </c>
      <c r="HP19" s="766"/>
      <c r="HQ19" s="767"/>
      <c r="HR19" s="801">
        <f t="shared" si="65"/>
        <v>0</v>
      </c>
      <c r="HS19" s="766"/>
      <c r="HT19" s="767"/>
      <c r="HU19" s="957">
        <f t="shared" si="66"/>
        <v>0</v>
      </c>
      <c r="HV19" s="766"/>
      <c r="HW19" s="767"/>
      <c r="HX19" s="801">
        <f t="shared" si="67"/>
        <v>0</v>
      </c>
      <c r="HY19" s="766">
        <f>[1]Субсидия_факт!FV13</f>
        <v>0</v>
      </c>
      <c r="HZ19" s="767">
        <f>[1]Субсидия_факт!FZ13</f>
        <v>0</v>
      </c>
      <c r="IA19" s="957">
        <f t="shared" si="68"/>
        <v>0</v>
      </c>
      <c r="IB19" s="766"/>
      <c r="IC19" s="767"/>
      <c r="ID19" s="1233">
        <f t="shared" si="69"/>
        <v>0</v>
      </c>
      <c r="IE19" s="763">
        <f t="shared" si="70"/>
        <v>0</v>
      </c>
      <c r="IF19" s="762">
        <f t="shared" si="70"/>
        <v>0</v>
      </c>
      <c r="IG19" s="782">
        <f t="shared" si="71"/>
        <v>0</v>
      </c>
      <c r="IH19" s="763">
        <f t="shared" si="72"/>
        <v>0</v>
      </c>
      <c r="II19" s="762">
        <f t="shared" si="72"/>
        <v>0</v>
      </c>
      <c r="IJ19" s="1233">
        <f t="shared" si="73"/>
        <v>0</v>
      </c>
      <c r="IK19" s="763">
        <f>[1]Субсидия_факт!FX13</f>
        <v>0</v>
      </c>
      <c r="IL19" s="762">
        <f>[1]Субсидия_факт!GB13</f>
        <v>0</v>
      </c>
      <c r="IM19" s="782">
        <f t="shared" si="74"/>
        <v>0</v>
      </c>
      <c r="IN19" s="763">
        <f t="shared" si="188"/>
        <v>0</v>
      </c>
      <c r="IO19" s="764">
        <f t="shared" si="189"/>
        <v>0</v>
      </c>
      <c r="IP19" s="801">
        <f t="shared" si="75"/>
        <v>0</v>
      </c>
      <c r="IQ19" s="763">
        <f>[1]Субсидия_факт!ED13</f>
        <v>0</v>
      </c>
      <c r="IR19" s="764">
        <f>[1]Субсидия_факт!EF13</f>
        <v>0</v>
      </c>
      <c r="IS19" s="957">
        <f t="shared" si="76"/>
        <v>0</v>
      </c>
      <c r="IT19" s="766"/>
      <c r="IU19" s="767"/>
      <c r="IV19" s="1259">
        <f t="shared" si="77"/>
        <v>0</v>
      </c>
      <c r="IW19" s="763">
        <f>[1]Субсидия_факт!EH13</f>
        <v>0</v>
      </c>
      <c r="IX19" s="764">
        <f>[1]Субсидия_факт!EL13</f>
        <v>0</v>
      </c>
      <c r="IY19" s="1254">
        <f t="shared" si="78"/>
        <v>0</v>
      </c>
      <c r="IZ19" s="766"/>
      <c r="JA19" s="793"/>
      <c r="JB19" s="1235">
        <f t="shared" si="222"/>
        <v>0</v>
      </c>
      <c r="JC19" s="1235">
        <f t="shared" si="223"/>
        <v>0</v>
      </c>
      <c r="JD19" s="1235">
        <f t="shared" si="224"/>
        <v>0</v>
      </c>
      <c r="JE19" s="783">
        <f t="shared" si="225"/>
        <v>0</v>
      </c>
      <c r="JF19" s="1234">
        <f t="shared" si="79"/>
        <v>0</v>
      </c>
      <c r="JG19" s="763">
        <f>[1]Субсидия_факт!BX13</f>
        <v>0</v>
      </c>
      <c r="JH19" s="764">
        <f>[1]Субсидия_факт!BZ13</f>
        <v>0</v>
      </c>
      <c r="JI19" s="957">
        <f t="shared" si="80"/>
        <v>0</v>
      </c>
      <c r="JJ19" s="766"/>
      <c r="JK19" s="767"/>
      <c r="JL19" s="801">
        <f t="shared" si="81"/>
        <v>0</v>
      </c>
      <c r="JM19" s="766">
        <f>[1]Субсидия_факт!ET13</f>
        <v>0</v>
      </c>
      <c r="JN19" s="767">
        <f>[1]Субсидия_факт!EV13</f>
        <v>0</v>
      </c>
      <c r="JO19" s="957">
        <f t="shared" si="82"/>
        <v>0</v>
      </c>
      <c r="JP19" s="766"/>
      <c r="JQ19" s="767"/>
      <c r="JR19" s="910">
        <f t="shared" si="83"/>
        <v>0</v>
      </c>
      <c r="JS19" s="763">
        <f>[1]Субсидия_факт!EX13</f>
        <v>0</v>
      </c>
      <c r="JT19" s="762">
        <f>[1]Субсидия_факт!FD13</f>
        <v>0</v>
      </c>
      <c r="JU19" s="910">
        <f t="shared" si="84"/>
        <v>0</v>
      </c>
      <c r="JV19" s="763"/>
      <c r="JW19" s="764"/>
      <c r="JX19" s="910">
        <f t="shared" si="85"/>
        <v>0</v>
      </c>
      <c r="JY19" s="763">
        <f>[1]Субсидия_факт!EZ13</f>
        <v>0</v>
      </c>
      <c r="JZ19" s="764">
        <f>[1]Субсидия_факт!FF13</f>
        <v>0</v>
      </c>
      <c r="KA19" s="910">
        <f t="shared" si="86"/>
        <v>0</v>
      </c>
      <c r="KB19" s="754"/>
      <c r="KC19" s="768"/>
      <c r="KD19" s="910">
        <f t="shared" si="87"/>
        <v>-252094.77</v>
      </c>
      <c r="KE19" s="755">
        <f>'Проверочная  таблица'!JY19-'Проверочная  таблица'!KK19</f>
        <v>-65544.639999999985</v>
      </c>
      <c r="KF19" s="764">
        <f>'Проверочная  таблица'!JZ19-'Проверочная  таблица'!KL19</f>
        <v>-186550.13</v>
      </c>
      <c r="KG19" s="1225">
        <f t="shared" si="88"/>
        <v>0</v>
      </c>
      <c r="KH19" s="754">
        <f>'Проверочная  таблица'!KB19-'Проверочная  таблица'!KN19</f>
        <v>0</v>
      </c>
      <c r="KI19" s="771">
        <f>'Проверочная  таблица'!KC19-'Проверочная  таблица'!KO19</f>
        <v>0</v>
      </c>
      <c r="KJ19" s="910">
        <f t="shared" si="89"/>
        <v>252094.77</v>
      </c>
      <c r="KK19" s="763">
        <f>[1]Субсидия_факт!FB13</f>
        <v>65544.639999999985</v>
      </c>
      <c r="KL19" s="762">
        <f>[1]Субсидия_факт!FH13</f>
        <v>186550.13</v>
      </c>
      <c r="KM19" s="782">
        <f t="shared" si="90"/>
        <v>0</v>
      </c>
      <c r="KN19" s="763"/>
      <c r="KO19" s="764"/>
      <c r="KP19" s="1217">
        <f t="shared" si="226"/>
        <v>3897151.81</v>
      </c>
      <c r="KQ19" s="754">
        <f>[1]Субсидия_факт!OD13</f>
        <v>3497891.64</v>
      </c>
      <c r="KR19" s="764">
        <f>[1]Субсидия_факт!OJ13</f>
        <v>353490.17</v>
      </c>
      <c r="KS19" s="754">
        <f>[1]Субсидия_факт!OR13</f>
        <v>16639.580000000002</v>
      </c>
      <c r="KT19" s="764">
        <f>[1]Субсидия_факт!OT13</f>
        <v>29130.42</v>
      </c>
      <c r="KU19" s="1217">
        <f t="shared" si="91"/>
        <v>0</v>
      </c>
      <c r="KV19" s="754"/>
      <c r="KW19" s="764"/>
      <c r="KX19" s="754"/>
      <c r="KY19" s="764"/>
      <c r="KZ19" s="1217">
        <f t="shared" si="227"/>
        <v>16680</v>
      </c>
      <c r="LA19" s="789">
        <f>[1]Субсидия_факт!OF13</f>
        <v>16680</v>
      </c>
      <c r="LB19" s="767">
        <f>[1]Субсидия_факт!OL13</f>
        <v>0</v>
      </c>
      <c r="LC19" s="789"/>
      <c r="LD19" s="767"/>
      <c r="LE19" s="1217">
        <f t="shared" si="92"/>
        <v>0</v>
      </c>
      <c r="LF19" s="754"/>
      <c r="LG19" s="764"/>
      <c r="LH19" s="754"/>
      <c r="LI19" s="764"/>
      <c r="LJ19" s="1219">
        <f t="shared" si="93"/>
        <v>-12410</v>
      </c>
      <c r="LK19" s="789">
        <f t="shared" si="94"/>
        <v>-12410</v>
      </c>
      <c r="LL19" s="767">
        <f t="shared" si="94"/>
        <v>0</v>
      </c>
      <c r="LM19" s="1219">
        <f t="shared" si="95"/>
        <v>0</v>
      </c>
      <c r="LN19" s="789">
        <f t="shared" si="96"/>
        <v>0</v>
      </c>
      <c r="LO19" s="767">
        <f t="shared" si="96"/>
        <v>0</v>
      </c>
      <c r="LP19" s="1219">
        <f t="shared" si="97"/>
        <v>29090</v>
      </c>
      <c r="LQ19" s="763">
        <f>[1]Субсидия_факт!OH13</f>
        <v>29090</v>
      </c>
      <c r="LR19" s="762">
        <f>[1]Субсидия_факт!ON13</f>
        <v>0</v>
      </c>
      <c r="LS19" s="1219">
        <f t="shared" si="98"/>
        <v>0</v>
      </c>
      <c r="LT19" s="755"/>
      <c r="LU19" s="764"/>
      <c r="LV19" s="957">
        <f t="shared" si="228"/>
        <v>0</v>
      </c>
      <c r="LW19" s="769">
        <f>[1]Субсидия_факт!DP13</f>
        <v>0</v>
      </c>
      <c r="LX19" s="754">
        <f>[1]Субсидия_факт!CB13</f>
        <v>0</v>
      </c>
      <c r="LY19" s="764">
        <f>[1]Субсидия_факт!CH13</f>
        <v>0</v>
      </c>
      <c r="LZ19" s="957">
        <f t="shared" si="99"/>
        <v>0</v>
      </c>
      <c r="MA19" s="769"/>
      <c r="MB19" s="754"/>
      <c r="MC19" s="764"/>
      <c r="MD19" s="957">
        <f t="shared" si="229"/>
        <v>0</v>
      </c>
      <c r="ME19" s="769">
        <f>[1]Субсидия_факт!DR13</f>
        <v>0</v>
      </c>
      <c r="MF19" s="754">
        <f>[1]Субсидия_факт!CD13</f>
        <v>0</v>
      </c>
      <c r="MG19" s="764">
        <f>[1]Субсидия_факт!CJ13</f>
        <v>0</v>
      </c>
      <c r="MH19" s="957">
        <f t="shared" si="100"/>
        <v>0</v>
      </c>
      <c r="MI19" s="769"/>
      <c r="MJ19" s="754"/>
      <c r="MK19" s="762"/>
      <c r="ML19" s="783">
        <f t="shared" si="101"/>
        <v>0</v>
      </c>
      <c r="MM19" s="766">
        <f>'Проверочная  таблица'!ME19-MU19</f>
        <v>0</v>
      </c>
      <c r="MN19" s="766">
        <f>'Проверочная  таблица'!MF19-MV19</f>
        <v>0</v>
      </c>
      <c r="MO19" s="767">
        <f>'Проверочная  таблица'!MG19-MW19</f>
        <v>0</v>
      </c>
      <c r="MP19" s="783">
        <f t="shared" si="102"/>
        <v>0</v>
      </c>
      <c r="MQ19" s="766">
        <f>'Проверочная  таблица'!MI19-MY19</f>
        <v>0</v>
      </c>
      <c r="MR19" s="766">
        <f>'Проверочная  таблица'!MJ19-MZ19</f>
        <v>0</v>
      </c>
      <c r="MS19" s="767">
        <f>'Проверочная  таблица'!MK19-NA19</f>
        <v>0</v>
      </c>
      <c r="MT19" s="783">
        <f t="shared" si="103"/>
        <v>0</v>
      </c>
      <c r="MU19" s="754">
        <f>[1]Субсидия_факт!DT13</f>
        <v>0</v>
      </c>
      <c r="MV19" s="754">
        <f>[1]Субсидия_факт!CF13</f>
        <v>0</v>
      </c>
      <c r="MW19" s="764">
        <f>[1]Субсидия_факт!CL13</f>
        <v>0</v>
      </c>
      <c r="MX19" s="783">
        <f t="shared" si="104"/>
        <v>0</v>
      </c>
      <c r="MY19" s="754"/>
      <c r="MZ19" s="754"/>
      <c r="NA19" s="764"/>
      <c r="NB19" s="1224">
        <f t="shared" si="230"/>
        <v>6681283.96</v>
      </c>
      <c r="NC19" s="754">
        <f>[1]Субсидия_факт!CN13</f>
        <v>0</v>
      </c>
      <c r="ND19" s="762">
        <f>[1]Субсидия_факт!CP13</f>
        <v>0</v>
      </c>
      <c r="NE19" s="766">
        <f>[1]Субсидия_факт!CR13</f>
        <v>1671589.1900000004</v>
      </c>
      <c r="NF19" s="767">
        <f>[1]Субсидия_факт!CT13</f>
        <v>4757600</v>
      </c>
      <c r="NG19" s="755">
        <f>[1]Субсидия_факт!DV13</f>
        <v>0</v>
      </c>
      <c r="NH19" s="763">
        <f>[1]Субсидия_факт!FJ13</f>
        <v>65544.639999999985</v>
      </c>
      <c r="NI19" s="762">
        <f>[1]Субсидия_факт!FP13</f>
        <v>186550.13</v>
      </c>
      <c r="NJ19" s="910">
        <f t="shared" si="105"/>
        <v>907226.67999999993</v>
      </c>
      <c r="NK19" s="754"/>
      <c r="NL19" s="764"/>
      <c r="NM19" s="770">
        <v>170334.3</v>
      </c>
      <c r="NN19" s="794">
        <v>484797.61</v>
      </c>
      <c r="NO19" s="754"/>
      <c r="NP19" s="754">
        <v>65544.639999999999</v>
      </c>
      <c r="NQ19" s="764">
        <v>186550.13</v>
      </c>
      <c r="NR19" s="910">
        <f t="shared" si="231"/>
        <v>0</v>
      </c>
      <c r="NS19" s="763">
        <f>[1]Субсидия_факт!FL13</f>
        <v>0</v>
      </c>
      <c r="NT19" s="762">
        <f>[1]Субсидия_факт!FR13</f>
        <v>0</v>
      </c>
      <c r="NU19" s="910">
        <f t="shared" si="106"/>
        <v>0</v>
      </c>
      <c r="NV19" s="755"/>
      <c r="NW19" s="764"/>
      <c r="NX19" s="782">
        <f t="shared" si="107"/>
        <v>0</v>
      </c>
      <c r="NY19" s="763">
        <f>'Проверочная  таблица'!NS19-OE19</f>
        <v>0</v>
      </c>
      <c r="NZ19" s="764">
        <f>'Проверочная  таблица'!NT19-OF19</f>
        <v>0</v>
      </c>
      <c r="OA19" s="782">
        <f t="shared" si="108"/>
        <v>0</v>
      </c>
      <c r="OB19" s="754">
        <f>'Проверочная  таблица'!NV19-OH19</f>
        <v>0</v>
      </c>
      <c r="OC19" s="771">
        <f>'Проверочная  таблица'!NW19-OI19</f>
        <v>0</v>
      </c>
      <c r="OD19" s="782">
        <f t="shared" si="232"/>
        <v>0</v>
      </c>
      <c r="OE19" s="763">
        <f>[1]Субсидия_факт!FN13</f>
        <v>0</v>
      </c>
      <c r="OF19" s="762">
        <f>[1]Субсидия_факт!FT13</f>
        <v>0</v>
      </c>
      <c r="OG19" s="782">
        <f t="shared" si="109"/>
        <v>0</v>
      </c>
      <c r="OH19" s="754"/>
      <c r="OI19" s="764"/>
      <c r="OJ19" s="919">
        <f t="shared" si="233"/>
        <v>0</v>
      </c>
      <c r="OK19" s="763">
        <f>[1]Субсидия_факт!AR13</f>
        <v>0</v>
      </c>
      <c r="OL19" s="762">
        <f>[1]Субсидия_факт!AT13</f>
        <v>0</v>
      </c>
      <c r="OM19" s="763">
        <f>[1]Субсидия_факт!AV13</f>
        <v>0</v>
      </c>
      <c r="ON19" s="957">
        <f t="shared" si="110"/>
        <v>0</v>
      </c>
      <c r="OO19" s="770"/>
      <c r="OP19" s="767"/>
      <c r="OQ19" s="770"/>
      <c r="OR19" s="1238">
        <f t="shared" si="111"/>
        <v>17630865.18</v>
      </c>
      <c r="OS19" s="763">
        <f>[1]Субсидия_факт!GD13</f>
        <v>0</v>
      </c>
      <c r="OT19" s="762">
        <f>[1]Субсидия_факт!GJ13</f>
        <v>17630865.18</v>
      </c>
      <c r="OU19" s="770">
        <f>[1]Субсидия_факт!GP13</f>
        <v>0</v>
      </c>
      <c r="OV19" s="1238">
        <f t="shared" si="112"/>
        <v>0</v>
      </c>
      <c r="OW19" s="755"/>
      <c r="OX19" s="764"/>
      <c r="OY19" s="754"/>
      <c r="OZ19" s="1217">
        <f t="shared" si="234"/>
        <v>17630865.18</v>
      </c>
      <c r="PA19" s="763">
        <f>[1]Субсидия_факт!GF13</f>
        <v>0</v>
      </c>
      <c r="PB19" s="762">
        <f>[1]Субсидия_факт!GL13</f>
        <v>0</v>
      </c>
      <c r="PC19" s="754">
        <f>[1]Субсидия_факт!GR13</f>
        <v>17630865.18</v>
      </c>
      <c r="PD19" s="1217">
        <f t="shared" si="113"/>
        <v>4715691.8599999994</v>
      </c>
      <c r="PE19" s="754"/>
      <c r="PF19" s="771"/>
      <c r="PG19" s="754">
        <f>2408075.28+2307616.58</f>
        <v>4715691.8599999994</v>
      </c>
      <c r="PH19" s="1219">
        <f t="shared" si="114"/>
        <v>17630865.18</v>
      </c>
      <c r="PI19" s="789">
        <f>'Проверочная  таблица'!PA19-PQ19</f>
        <v>0</v>
      </c>
      <c r="PJ19" s="767">
        <f>'Проверочная  таблица'!PB19-PR19</f>
        <v>0</v>
      </c>
      <c r="PK19" s="770">
        <f>'Проверочная  таблица'!PC19-PS19</f>
        <v>17630865.18</v>
      </c>
      <c r="PL19" s="1219">
        <f t="shared" si="235"/>
        <v>4715691.8599999994</v>
      </c>
      <c r="PM19" s="755">
        <f>'Проверочная  таблица'!PE19-PU19</f>
        <v>0</v>
      </c>
      <c r="PN19" s="764">
        <f>'Проверочная  таблица'!PF19-PV19</f>
        <v>0</v>
      </c>
      <c r="PO19" s="754">
        <f>'Проверочная  таблица'!PG19-PW19</f>
        <v>4715691.8599999994</v>
      </c>
      <c r="PP19" s="1219">
        <f t="shared" si="115"/>
        <v>0</v>
      </c>
      <c r="PQ19" s="763">
        <f>[1]Субсидия_факт!GH13</f>
        <v>0</v>
      </c>
      <c r="PR19" s="762">
        <f>[1]Субсидия_факт!GN13</f>
        <v>0</v>
      </c>
      <c r="PS19" s="763">
        <f>[1]Субсидия_факт!GT13</f>
        <v>0</v>
      </c>
      <c r="PT19" s="1219">
        <f t="shared" si="116"/>
        <v>0</v>
      </c>
      <c r="PU19" s="755">
        <f t="shared" si="193"/>
        <v>0</v>
      </c>
      <c r="PV19" s="764">
        <f t="shared" si="194"/>
        <v>0</v>
      </c>
      <c r="PW19" s="763"/>
      <c r="PX19" s="910">
        <f t="shared" si="195"/>
        <v>0</v>
      </c>
      <c r="PY19" s="830">
        <f>[1]Субсидия_факт!JB13</f>
        <v>0</v>
      </c>
      <c r="PZ19" s="831">
        <f>[1]Субсидия_факт!JH13</f>
        <v>0</v>
      </c>
      <c r="QA19" s="830"/>
      <c r="QB19" s="831"/>
      <c r="QC19" s="910">
        <f t="shared" si="196"/>
        <v>0</v>
      </c>
      <c r="QD19" s="1156"/>
      <c r="QE19" s="1157"/>
      <c r="QF19" s="1156"/>
      <c r="QG19" s="1157"/>
      <c r="QH19" s="1263">
        <f t="shared" si="117"/>
        <v>0</v>
      </c>
      <c r="QI19" s="830">
        <f>[1]Субсидия_факт!JD13</f>
        <v>0</v>
      </c>
      <c r="QJ19" s="831">
        <f>[1]Субсидия_факт!JJ13</f>
        <v>0</v>
      </c>
      <c r="QK19" s="1264">
        <f t="shared" si="118"/>
        <v>0</v>
      </c>
      <c r="QL19" s="1156"/>
      <c r="QM19" s="1157"/>
      <c r="QN19" s="923">
        <f t="shared" si="236"/>
        <v>0</v>
      </c>
      <c r="QO19" s="1156">
        <f t="shared" si="119"/>
        <v>0</v>
      </c>
      <c r="QP19" s="831">
        <f t="shared" si="119"/>
        <v>0</v>
      </c>
      <c r="QQ19" s="1261">
        <f t="shared" si="120"/>
        <v>0</v>
      </c>
      <c r="QR19" s="830">
        <f t="shared" si="121"/>
        <v>0</v>
      </c>
      <c r="QS19" s="831">
        <f t="shared" si="121"/>
        <v>0</v>
      </c>
      <c r="QT19" s="1261">
        <f t="shared" si="122"/>
        <v>0</v>
      </c>
      <c r="QU19" s="830">
        <f>[1]Субсидия_факт!JF13</f>
        <v>0</v>
      </c>
      <c r="QV19" s="831">
        <f>[1]Субсидия_факт!JL13</f>
        <v>0</v>
      </c>
      <c r="QW19" s="923">
        <f t="shared" si="237"/>
        <v>0</v>
      </c>
      <c r="QX19" s="770"/>
      <c r="QY19" s="794"/>
      <c r="QZ19" s="801">
        <f t="shared" si="123"/>
        <v>0</v>
      </c>
      <c r="RA19" s="766">
        <f>[1]Субсидия_факт!CV13</f>
        <v>0</v>
      </c>
      <c r="RB19" s="767">
        <f>[1]Субсидия_факт!CX13</f>
        <v>0</v>
      </c>
      <c r="RC19" s="957">
        <f t="shared" si="124"/>
        <v>0</v>
      </c>
      <c r="RD19" s="766"/>
      <c r="RE19" s="767"/>
      <c r="RF19" s="801">
        <f t="shared" si="125"/>
        <v>0</v>
      </c>
      <c r="RG19" s="766">
        <f>[1]Субсидия_факт!CZ13</f>
        <v>0</v>
      </c>
      <c r="RH19" s="767">
        <f>[1]Субсидия_факт!DF13</f>
        <v>0</v>
      </c>
      <c r="RI19" s="957">
        <f t="shared" si="126"/>
        <v>0</v>
      </c>
      <c r="RJ19" s="766"/>
      <c r="RK19" s="767"/>
      <c r="RL19" s="801">
        <f t="shared" si="127"/>
        <v>0</v>
      </c>
      <c r="RM19" s="766">
        <f>[1]Субсидия_факт!DB13</f>
        <v>0</v>
      </c>
      <c r="RN19" s="767">
        <f>[1]Субсидия_факт!DH13</f>
        <v>0</v>
      </c>
      <c r="RO19" s="957">
        <f t="shared" si="128"/>
        <v>0</v>
      </c>
      <c r="RP19" s="766"/>
      <c r="RQ19" s="767"/>
      <c r="RR19" s="1235">
        <f t="shared" si="129"/>
        <v>0</v>
      </c>
      <c r="RS19" s="766">
        <f t="shared" si="130"/>
        <v>0</v>
      </c>
      <c r="RT19" s="767">
        <f t="shared" si="130"/>
        <v>0</v>
      </c>
      <c r="RU19" s="783">
        <f t="shared" si="131"/>
        <v>0</v>
      </c>
      <c r="RV19" s="766">
        <f t="shared" si="132"/>
        <v>0</v>
      </c>
      <c r="RW19" s="767">
        <f t="shared" si="132"/>
        <v>0</v>
      </c>
      <c r="RX19" s="801">
        <f t="shared" si="133"/>
        <v>0</v>
      </c>
      <c r="RY19" s="766">
        <f>[1]Субсидия_факт!DD13</f>
        <v>0</v>
      </c>
      <c r="RZ19" s="767">
        <f>[1]Субсидия_факт!DJ13</f>
        <v>0</v>
      </c>
      <c r="SA19" s="783">
        <f t="shared" si="134"/>
        <v>0</v>
      </c>
      <c r="SB19" s="766"/>
      <c r="SC19" s="767"/>
      <c r="SD19" s="801">
        <f t="shared" si="135"/>
        <v>0</v>
      </c>
      <c r="SE19" s="766">
        <f>[1]Субсидия_факт!DL13</f>
        <v>0</v>
      </c>
      <c r="SF19" s="767">
        <f>[1]Субсидия_факт!DN13</f>
        <v>0</v>
      </c>
      <c r="SG19" s="1253">
        <f t="shared" si="136"/>
        <v>0</v>
      </c>
      <c r="SH19" s="789"/>
      <c r="SI19" s="793"/>
      <c r="SJ19" s="957">
        <f t="shared" si="238"/>
        <v>0</v>
      </c>
      <c r="SK19" s="763">
        <f>[1]Субсидия_факт!BJ13</f>
        <v>0</v>
      </c>
      <c r="SL19" s="766">
        <f>[1]Субсидия_факт!BF13</f>
        <v>0</v>
      </c>
      <c r="SM19" s="793">
        <f>[1]Субсидия_факт!BH13</f>
        <v>0</v>
      </c>
      <c r="SN19" s="957">
        <f t="shared" si="137"/>
        <v>0</v>
      </c>
      <c r="SO19" s="795"/>
      <c r="SP19" s="789"/>
      <c r="SQ19" s="793"/>
      <c r="SR19" s="801">
        <f t="shared" si="138"/>
        <v>0</v>
      </c>
      <c r="SS19" s="766">
        <f>[1]Субсидия_факт!AD13</f>
        <v>0</v>
      </c>
      <c r="ST19" s="767">
        <f>[1]Субсидия_факт!AF13</f>
        <v>0</v>
      </c>
      <c r="SU19" s="957">
        <f t="shared" si="139"/>
        <v>0</v>
      </c>
      <c r="SV19" s="789"/>
      <c r="SW19" s="793"/>
      <c r="SX19" s="801">
        <f t="shared" si="239"/>
        <v>0</v>
      </c>
      <c r="SY19" s="766">
        <f>[1]Субсидия_факт!ID13</f>
        <v>0</v>
      </c>
      <c r="SZ19" s="767">
        <f>[1]Субсидия_факт!IJ13</f>
        <v>0</v>
      </c>
      <c r="TA19" s="789">
        <f>[1]Субсидия_факт!IP13</f>
        <v>0</v>
      </c>
      <c r="TB19" s="767">
        <f>[1]Субсидия_факт!IV13</f>
        <v>0</v>
      </c>
      <c r="TC19" s="1028">
        <f>[1]Субсидия_факт!JZ13</f>
        <v>0</v>
      </c>
      <c r="TD19" s="793">
        <f>[1]Субсидия_факт!KF13</f>
        <v>0</v>
      </c>
      <c r="TE19" s="957">
        <f t="shared" si="140"/>
        <v>0</v>
      </c>
      <c r="TF19" s="1162"/>
      <c r="TG19" s="794"/>
      <c r="TH19" s="1162"/>
      <c r="TI19" s="794"/>
      <c r="TJ19" s="1028"/>
      <c r="TK19" s="793"/>
      <c r="TL19" s="846">
        <f t="shared" si="141"/>
        <v>13100839.48</v>
      </c>
      <c r="TM19" s="766">
        <f>[1]Субсидия_факт!IF13</f>
        <v>655041.97000000067</v>
      </c>
      <c r="TN19" s="767">
        <f>[1]Субсидия_факт!IL13</f>
        <v>12445797.51</v>
      </c>
      <c r="TO19" s="789">
        <f>[1]Субсидия_факт!IR13</f>
        <v>0</v>
      </c>
      <c r="TP19" s="767">
        <f>[1]Субсидия_факт!IX13</f>
        <v>0</v>
      </c>
      <c r="TQ19" s="789">
        <f>[1]Субсидия_факт!KB13</f>
        <v>0</v>
      </c>
      <c r="TR19" s="767">
        <f>[1]Субсидия_факт!KH13</f>
        <v>0</v>
      </c>
      <c r="TS19" s="957">
        <f t="shared" si="142"/>
        <v>3584861.44</v>
      </c>
      <c r="TT19" s="770">
        <v>179243.06</v>
      </c>
      <c r="TU19" s="794">
        <v>3405618.38</v>
      </c>
      <c r="TV19" s="1028"/>
      <c r="TW19" s="794"/>
      <c r="TX19" s="770"/>
      <c r="TY19" s="794"/>
      <c r="TZ19" s="783">
        <f t="shared" si="143"/>
        <v>13100839.48</v>
      </c>
      <c r="UA19" s="766">
        <f t="shared" si="144"/>
        <v>655041.97000000067</v>
      </c>
      <c r="UB19" s="767">
        <f t="shared" si="144"/>
        <v>12445797.51</v>
      </c>
      <c r="UC19" s="766">
        <f t="shared" si="144"/>
        <v>0</v>
      </c>
      <c r="UD19" s="767">
        <f t="shared" si="144"/>
        <v>0</v>
      </c>
      <c r="UE19" s="789">
        <f t="shared" si="144"/>
        <v>0</v>
      </c>
      <c r="UF19" s="767">
        <f t="shared" si="144"/>
        <v>0</v>
      </c>
      <c r="UG19" s="783">
        <f t="shared" si="145"/>
        <v>3584861.44</v>
      </c>
      <c r="UH19" s="766">
        <f t="shared" si="146"/>
        <v>179243.06</v>
      </c>
      <c r="UI19" s="767">
        <f t="shared" si="146"/>
        <v>3405618.38</v>
      </c>
      <c r="UJ19" s="766">
        <f t="shared" si="146"/>
        <v>0</v>
      </c>
      <c r="UK19" s="767">
        <f t="shared" si="146"/>
        <v>0</v>
      </c>
      <c r="UL19" s="789">
        <f t="shared" si="146"/>
        <v>0</v>
      </c>
      <c r="UM19" s="767">
        <f t="shared" si="146"/>
        <v>0</v>
      </c>
      <c r="UN19" s="783">
        <f t="shared" si="147"/>
        <v>0</v>
      </c>
      <c r="UO19" s="766">
        <f>[1]Субсидия_факт!IH13</f>
        <v>0</v>
      </c>
      <c r="UP19" s="767">
        <f>[1]Субсидия_факт!IN13</f>
        <v>0</v>
      </c>
      <c r="UQ19" s="789">
        <f>[1]Субсидия_факт!IT13</f>
        <v>0</v>
      </c>
      <c r="UR19" s="767">
        <f>[1]Субсидия_факт!IZ13</f>
        <v>0</v>
      </c>
      <c r="US19" s="789">
        <f>[1]Субсидия_факт!KD13</f>
        <v>0</v>
      </c>
      <c r="UT19" s="767">
        <f>[1]Субсидия_факт!KJ13</f>
        <v>0</v>
      </c>
      <c r="UU19" s="783">
        <f t="shared" si="148"/>
        <v>0</v>
      </c>
      <c r="UV19" s="1028"/>
      <c r="UW19" s="794"/>
      <c r="UX19" s="1028"/>
      <c r="UY19" s="794"/>
      <c r="UZ19" s="1028"/>
      <c r="VA19" s="794"/>
      <c r="VB19" s="957">
        <f>'Прочая  субсидия_МР  и  ГО'!B14</f>
        <v>102292190.98</v>
      </c>
      <c r="VC19" s="957">
        <f>'Прочая  субсидия_МР  и  ГО'!C14</f>
        <v>29432721.030000001</v>
      </c>
      <c r="VD19" s="1234">
        <f>'Прочая  субсидия_БП'!B14</f>
        <v>3529160.41</v>
      </c>
      <c r="VE19" s="801">
        <f>'Прочая  субсидия_БП'!C14</f>
        <v>152206.00999999998</v>
      </c>
      <c r="VF19" s="1255">
        <f>'Прочая  субсидия_БП'!D14</f>
        <v>1922960.4900000002</v>
      </c>
      <c r="VG19" s="1248">
        <f>'Прочая  субсидия_БП'!E14</f>
        <v>152206.00999999998</v>
      </c>
      <c r="VH19" s="1249">
        <f>'Прочая  субсидия_БП'!F14</f>
        <v>1606199.92</v>
      </c>
      <c r="VI19" s="1255">
        <f>'Прочая  субсидия_БП'!G14</f>
        <v>0</v>
      </c>
      <c r="VJ19" s="801">
        <f t="shared" si="149"/>
        <v>438055717.56999999</v>
      </c>
      <c r="VK19" s="770">
        <f>'Проверочная  таблица'!WM19+'Проверочная  таблица'!VP19+'Проверочная  таблица'!VR19+WG19</f>
        <v>425799765.87</v>
      </c>
      <c r="VL19" s="795">
        <f>'Проверочная  таблица'!WN19+'Проверочная  таблица'!VV19+'Проверочная  таблица'!WB19+'Проверочная  таблица'!VX19+'Проверочная  таблица'!VZ19+WD19+WH19+VT19</f>
        <v>12255951.699999999</v>
      </c>
      <c r="VM19" s="957">
        <f t="shared" si="150"/>
        <v>246117888.25999999</v>
      </c>
      <c r="VN19" s="770">
        <f>'Проверочная  таблица'!WP19+'Проверочная  таблица'!VQ19+'Проверочная  таблица'!VS19+WJ19</f>
        <v>239628661.01999998</v>
      </c>
      <c r="VO19" s="795">
        <f>'Проверочная  таблица'!WQ19+'Проверочная  таблица'!VW19+'Проверочная  таблица'!WC19+'Проверочная  таблица'!VY19+'Проверочная  таблица'!WA19+WE19+WK19+VU19</f>
        <v>6489227.2400000002</v>
      </c>
      <c r="VP19" s="1253">
        <f>'Субвенция  на  полномочия'!B14</f>
        <v>411200315.92000002</v>
      </c>
      <c r="VQ19" s="1234">
        <f>'Субвенция  на  полномочия'!C14</f>
        <v>231586855.66999999</v>
      </c>
      <c r="VR19" s="790">
        <f>[1]Субвенция_факт!M12*1000</f>
        <v>10352728</v>
      </c>
      <c r="VS19" s="796">
        <v>5726000</v>
      </c>
      <c r="VT19" s="790">
        <f>[1]Субвенция_факт!AE12*1000</f>
        <v>0</v>
      </c>
      <c r="VU19" s="796"/>
      <c r="VV19" s="790">
        <f>[1]Субвенция_факт!AF12*1000</f>
        <v>2944300</v>
      </c>
      <c r="VW19" s="796">
        <f>ВУС!E40</f>
        <v>1172781.24</v>
      </c>
      <c r="VX19" s="1256">
        <f>[1]Субвенция_факт!AG12*1000</f>
        <v>0</v>
      </c>
      <c r="VY19" s="797"/>
      <c r="VZ19" s="792">
        <f>[1]Субвенция_факт!E12*1000</f>
        <v>0</v>
      </c>
      <c r="WA19" s="797"/>
      <c r="WB19" s="792">
        <f>[1]Субвенция_факт!F12*1000</f>
        <v>0</v>
      </c>
      <c r="WC19" s="797"/>
      <c r="WD19" s="791">
        <f>[1]Субвенция_факт!G12*1000</f>
        <v>0</v>
      </c>
      <c r="WE19" s="796"/>
      <c r="WF19" s="801">
        <f t="shared" si="151"/>
        <v>11508988.789999999</v>
      </c>
      <c r="WG19" s="766">
        <f>[1]Субвенция_факт!P12*1000</f>
        <v>2992337.09</v>
      </c>
      <c r="WH19" s="767">
        <f>[1]Субвенция_факт!Q12*1000</f>
        <v>8516651.6999999993</v>
      </c>
      <c r="WI19" s="957">
        <f t="shared" si="152"/>
        <v>6599251.3499999996</v>
      </c>
      <c r="WJ19" s="770">
        <v>1715805.35</v>
      </c>
      <c r="WK19" s="798">
        <v>4883446</v>
      </c>
      <c r="WL19" s="957">
        <f t="shared" si="153"/>
        <v>2049384.8599999999</v>
      </c>
      <c r="WM19" s="799">
        <f>[1]Субвенция_факт!X12*1000</f>
        <v>1254384.8599999999</v>
      </c>
      <c r="WN19" s="800">
        <f>[1]Субвенция_факт!W12*1000</f>
        <v>795000</v>
      </c>
      <c r="WO19" s="957">
        <f t="shared" si="154"/>
        <v>1033000</v>
      </c>
      <c r="WP19" s="770">
        <v>600000</v>
      </c>
      <c r="WQ19" s="798">
        <v>433000</v>
      </c>
      <c r="WR19" s="957">
        <f t="shared" si="240"/>
        <v>75328225.879999995</v>
      </c>
      <c r="WS19" s="957">
        <f t="shared" si="241"/>
        <v>15968037.350000001</v>
      </c>
      <c r="WT19" s="1253">
        <f t="shared" si="155"/>
        <v>0</v>
      </c>
      <c r="WU19" s="799">
        <f>'[1]Иные межбюджетные трансферты'!AM13</f>
        <v>0</v>
      </c>
      <c r="WV19" s="800">
        <f>'[1]Иные межбюджетные трансферты'!AO13</f>
        <v>0</v>
      </c>
      <c r="WW19" s="1253">
        <f t="shared" si="156"/>
        <v>0</v>
      </c>
      <c r="WX19" s="799"/>
      <c r="WY19" s="800"/>
      <c r="WZ19" s="957">
        <f t="shared" si="157"/>
        <v>1348095.69</v>
      </c>
      <c r="XA19" s="799">
        <f>'[1]Иные межбюджетные трансферты'!AI13</f>
        <v>67404.78</v>
      </c>
      <c r="XB19" s="800">
        <f>'[1]Иные межбюджетные трансферты'!AK13</f>
        <v>1280690.9099999999</v>
      </c>
      <c r="XC19" s="957">
        <f t="shared" si="158"/>
        <v>898730.46000000008</v>
      </c>
      <c r="XD19" s="799">
        <v>44936.54</v>
      </c>
      <c r="XE19" s="800">
        <v>853793.92</v>
      </c>
      <c r="XF19" s="957">
        <f t="shared" si="159"/>
        <v>14051631</v>
      </c>
      <c r="XG19" s="799">
        <f>'[1]Иные межбюджетные трансферты'!I13</f>
        <v>0</v>
      </c>
      <c r="XH19" s="800">
        <f>'[1]Иные межбюджетные трансферты'!K13</f>
        <v>14051631</v>
      </c>
      <c r="XI19" s="957">
        <f t="shared" si="242"/>
        <v>13913073.27</v>
      </c>
      <c r="XJ19" s="786"/>
      <c r="XK19" s="800">
        <v>13913073.27</v>
      </c>
      <c r="XL19" s="957">
        <f t="shared" si="161"/>
        <v>0</v>
      </c>
      <c r="XM19" s="789"/>
      <c r="XN19" s="957">
        <f t="shared" si="162"/>
        <v>0</v>
      </c>
      <c r="XO19" s="789"/>
      <c r="XP19" s="801">
        <f t="shared" si="163"/>
        <v>0</v>
      </c>
      <c r="XQ19" s="766">
        <f>'[1]Иные межбюджетные трансферты'!M13</f>
        <v>0</v>
      </c>
      <c r="XR19" s="957">
        <f t="shared" si="164"/>
        <v>0</v>
      </c>
      <c r="XS19" s="770"/>
      <c r="XT19" s="1252">
        <f t="shared" si="165"/>
        <v>0</v>
      </c>
      <c r="XU19" s="783">
        <f t="shared" si="166"/>
        <v>0</v>
      </c>
      <c r="XV19" s="1252">
        <f t="shared" si="167"/>
        <v>0</v>
      </c>
      <c r="XW19" s="783">
        <f t="shared" si="168"/>
        <v>0</v>
      </c>
      <c r="XX19" s="957">
        <f t="shared" si="243"/>
        <v>30932941.140000001</v>
      </c>
      <c r="XY19" s="787">
        <f>'[1]Иные межбюджетные трансферты'!E13</f>
        <v>0</v>
      </c>
      <c r="XZ19" s="799">
        <f>'[1]Иные межбюджетные трансферты'!G13</f>
        <v>0</v>
      </c>
      <c r="YA19" s="786">
        <f>'[1]Иные межбюджетные трансферты'!Q13</f>
        <v>0</v>
      </c>
      <c r="YB19" s="787">
        <f>'[1]Иные межбюджетные трансферты'!W13</f>
        <v>0</v>
      </c>
      <c r="YC19" s="786">
        <f>'[1]Иные межбюджетные трансферты'!Y13</f>
        <v>0</v>
      </c>
      <c r="YD19" s="1116">
        <f>'[1]Иные межбюджетные трансферты'!AE13</f>
        <v>28448132</v>
      </c>
      <c r="YE19" s="786">
        <f>'[1]Иные межбюджетные трансферты'!AQ13</f>
        <v>0</v>
      </c>
      <c r="YF19" s="766">
        <f>'[1]Иные межбюджетные трансферты'!AW13</f>
        <v>0</v>
      </c>
      <c r="YG19" s="786">
        <f>'[1]Иные межбюджетные трансферты'!AY13</f>
        <v>0</v>
      </c>
      <c r="YH19" s="1116">
        <f>'[1]Иные межбюджетные трансферты'!BA13</f>
        <v>2484809.14</v>
      </c>
      <c r="YI19" s="957">
        <f t="shared" si="244"/>
        <v>1156233.6200000001</v>
      </c>
      <c r="YJ19" s="751"/>
      <c r="YK19" s="751"/>
      <c r="YL19" s="755"/>
      <c r="YM19" s="751"/>
      <c r="YN19" s="751">
        <f t="shared" si="245"/>
        <v>0</v>
      </c>
      <c r="YO19" s="751"/>
      <c r="YP19" s="751"/>
      <c r="YQ19" s="751"/>
      <c r="YR19" s="751"/>
      <c r="YS19" s="751">
        <v>1156233.6200000001</v>
      </c>
      <c r="YT19" s="957">
        <f t="shared" si="169"/>
        <v>28995558.050000001</v>
      </c>
      <c r="YU19" s="799">
        <f>'[1]Иные межбюджетные трансферты'!S13</f>
        <v>3524029.9999999995</v>
      </c>
      <c r="YV19" s="786">
        <f>'[1]Иные межбюджетные трансферты'!AA13</f>
        <v>0</v>
      </c>
      <c r="YW19" s="1116">
        <f>'[1]Иные межбюджетные трансферты'!AG13</f>
        <v>19338208</v>
      </c>
      <c r="YX19" s="787">
        <f>'[1]Иные межбюджетные трансферты'!AS13</f>
        <v>1968929.84</v>
      </c>
      <c r="YY19" s="751">
        <f>'[1]Иные межбюджетные трансферты'!BC13</f>
        <v>4164390.2099999995</v>
      </c>
      <c r="YZ19" s="957">
        <f t="shared" si="170"/>
        <v>0</v>
      </c>
      <c r="ZA19" s="769"/>
      <c r="ZB19" s="769">
        <f t="shared" si="246"/>
        <v>0</v>
      </c>
      <c r="ZC19" s="769"/>
      <c r="ZD19" s="751"/>
      <c r="ZE19" s="751"/>
      <c r="ZF19" s="783">
        <f t="shared" si="171"/>
        <v>28995558.050000001</v>
      </c>
      <c r="ZG19" s="763">
        <f>'Проверочная  таблица'!YU19-ZS19</f>
        <v>3524029.9999999995</v>
      </c>
      <c r="ZH19" s="763">
        <f>'Проверочная  таблица'!YV19-ZT19</f>
        <v>0</v>
      </c>
      <c r="ZI19" s="763">
        <f>'Проверочная  таблица'!YW19-ZU19</f>
        <v>19338208</v>
      </c>
      <c r="ZJ19" s="763">
        <f>'Проверочная  таблица'!YX19-ZV19</f>
        <v>1968929.84</v>
      </c>
      <c r="ZK19" s="763">
        <f>'Проверочная  таблица'!YY19-ZW19</f>
        <v>4164390.2099999995</v>
      </c>
      <c r="ZL19" s="783">
        <f t="shared" si="172"/>
        <v>0</v>
      </c>
      <c r="ZM19" s="763">
        <f>'Проверочная  таблица'!ZA19-ZY19</f>
        <v>0</v>
      </c>
      <c r="ZN19" s="763">
        <f>'Проверочная  таблица'!ZB19-ZZ19</f>
        <v>0</v>
      </c>
      <c r="ZO19" s="763">
        <f>'Проверочная  таблица'!ZC19-AAA19</f>
        <v>0</v>
      </c>
      <c r="ZP19" s="763">
        <f>'Проверочная  таблица'!ZD19-AAB19</f>
        <v>0</v>
      </c>
      <c r="ZQ19" s="763">
        <f>'Проверочная  таблица'!ZE19-AAC19</f>
        <v>0</v>
      </c>
      <c r="ZR19" s="783">
        <f t="shared" si="173"/>
        <v>0</v>
      </c>
      <c r="ZS19" s="799">
        <f>'[1]Иные межбюджетные трансферты'!U13</f>
        <v>0</v>
      </c>
      <c r="ZT19" s="786">
        <f>'[1]Иные межбюджетные трансферты'!AC13</f>
        <v>0</v>
      </c>
      <c r="ZU19" s="787"/>
      <c r="ZV19" s="799">
        <f>'[1]Иные межбюджетные трансферты'!AU13</f>
        <v>0</v>
      </c>
      <c r="ZW19" s="751"/>
      <c r="ZX19" s="783">
        <f t="shared" si="174"/>
        <v>0</v>
      </c>
      <c r="ZY19" s="769"/>
      <c r="ZZ19" s="769">
        <f t="shared" si="247"/>
        <v>0</v>
      </c>
      <c r="AAA19" s="769"/>
      <c r="AAB19" s="751"/>
      <c r="AAC19" s="751"/>
      <c r="AAD19" s="957">
        <f>AAF19+'Проверочная  таблица'!AAN19+AAJ19+'Проверочная  таблица'!AAR19+AAL19+'Проверочная  таблица'!AAT19</f>
        <v>0</v>
      </c>
      <c r="AAE19" s="957">
        <f>AAG19+'Проверочная  таблица'!AAO19+AAK19+'Проверочная  таблица'!AAS19+AAM19+'Проверочная  таблица'!AAU19</f>
        <v>0</v>
      </c>
      <c r="AAF19" s="801"/>
      <c r="AAG19" s="801"/>
      <c r="AAH19" s="801"/>
      <c r="AAI19" s="801"/>
      <c r="AAJ19" s="1235">
        <f t="shared" si="175"/>
        <v>0</v>
      </c>
      <c r="AAK19" s="783">
        <f t="shared" si="175"/>
        <v>0</v>
      </c>
      <c r="AAL19" s="802"/>
      <c r="AAM19" s="783"/>
      <c r="AAN19" s="801"/>
      <c r="AAO19" s="801"/>
      <c r="AAP19" s="801"/>
      <c r="AAQ19" s="801"/>
      <c r="AAR19" s="1235">
        <f t="shared" si="176"/>
        <v>0</v>
      </c>
      <c r="AAS19" s="783">
        <f t="shared" si="176"/>
        <v>0</v>
      </c>
      <c r="AAT19" s="783"/>
      <c r="AAU19" s="783"/>
      <c r="AAV19" s="1246">
        <f>'Проверочная  таблица'!AAN19+'Проверочная  таблица'!AAP19</f>
        <v>0</v>
      </c>
      <c r="AAW19" s="1246">
        <f>'Проверочная  таблица'!AAO19+'Проверочная  таблица'!AAQ19</f>
        <v>0</v>
      </c>
    </row>
    <row r="20" spans="1:725" ht="24" customHeight="1" x14ac:dyDescent="0.25">
      <c r="A20" s="784" t="s">
        <v>1308</v>
      </c>
      <c r="B20" s="801">
        <f>D20+AN20+'Проверочная  таблица'!VJ20+'Проверочная  таблица'!WR20</f>
        <v>699882751.94000018</v>
      </c>
      <c r="C20" s="957">
        <f>E20+'Проверочная  таблица'!VM20+AO20+'Проверочная  таблица'!WS20</f>
        <v>263175525.05000001</v>
      </c>
      <c r="D20" s="1234">
        <f t="shared" si="0"/>
        <v>70954135.349999994</v>
      </c>
      <c r="E20" s="801">
        <f t="shared" si="1"/>
        <v>35943860</v>
      </c>
      <c r="F20" s="1238">
        <f>'[1]Дотация  из  ОБ_факт'!M13</f>
        <v>24203203</v>
      </c>
      <c r="G20" s="1247">
        <v>12101400</v>
      </c>
      <c r="H20" s="1238">
        <f>'[1]Дотация  из  ОБ_факт'!G13</f>
        <v>21484982.349999998</v>
      </c>
      <c r="I20" s="1247">
        <v>10997486</v>
      </c>
      <c r="J20" s="1248">
        <f t="shared" si="2"/>
        <v>21484982.349999998</v>
      </c>
      <c r="K20" s="1249">
        <f t="shared" si="2"/>
        <v>10997486</v>
      </c>
      <c r="L20" s="1248">
        <f>'[1]Дотация  из  ОБ_факт'!K13</f>
        <v>0</v>
      </c>
      <c r="M20" s="785"/>
      <c r="N20" s="1238">
        <f>'[1]Дотация  из  ОБ_факт'!Q13</f>
        <v>0</v>
      </c>
      <c r="O20" s="1247"/>
      <c r="P20" s="1238">
        <f>'[1]Дотация  из  ОБ_факт'!S13</f>
        <v>23720250</v>
      </c>
      <c r="Q20" s="1247">
        <v>11844974</v>
      </c>
      <c r="R20" s="1248">
        <f t="shared" si="3"/>
        <v>23720250</v>
      </c>
      <c r="S20" s="1249">
        <f t="shared" si="3"/>
        <v>11844974</v>
      </c>
      <c r="T20" s="1248">
        <f>'[1]Дотация  из  ОБ_факт'!W13</f>
        <v>0</v>
      </c>
      <c r="U20" s="785"/>
      <c r="V20" s="790">
        <f t="shared" si="4"/>
        <v>1000000</v>
      </c>
      <c r="W20" s="1250">
        <f>'[1]Дотация  из  ОБ_факт'!AA13</f>
        <v>300000</v>
      </c>
      <c r="X20" s="1251">
        <f>'[1]Дотация  из  ОБ_факт'!AC13</f>
        <v>700000</v>
      </c>
      <c r="Y20" s="1251">
        <f>'[1]Дотация  из  ОБ_факт'!AG13</f>
        <v>0</v>
      </c>
      <c r="Z20" s="791">
        <f t="shared" si="5"/>
        <v>1000000</v>
      </c>
      <c r="AA20" s="751">
        <f t="shared" si="180"/>
        <v>300000</v>
      </c>
      <c r="AB20" s="751">
        <f t="shared" si="180"/>
        <v>700000</v>
      </c>
      <c r="AC20" s="786"/>
      <c r="AD20" s="790">
        <f t="shared" si="6"/>
        <v>545700</v>
      </c>
      <c r="AE20" s="1250">
        <f>'[1]Дотация  из  ОБ_факт'!Y13</f>
        <v>545700</v>
      </c>
      <c r="AF20" s="1251">
        <f>'[1]Дотация  из  ОБ_факт'!AE13</f>
        <v>0</v>
      </c>
      <c r="AG20" s="790">
        <f t="shared" si="7"/>
        <v>0</v>
      </c>
      <c r="AH20" s="787"/>
      <c r="AI20" s="786"/>
      <c r="AJ20" s="1248">
        <f t="shared" si="8"/>
        <v>545700</v>
      </c>
      <c r="AK20" s="1249">
        <f t="shared" si="9"/>
        <v>0</v>
      </c>
      <c r="AL20" s="1248">
        <f>'[1]Дотация  из  ОБ_факт'!AE13</f>
        <v>0</v>
      </c>
      <c r="AM20" s="788"/>
      <c r="AN20" s="919">
        <f>'Проверочная  таблица'!VB20+'Проверочная  таблица'!VD20+BT20+BV20+CH20+CJ20+BH20+BL20+'Проверочная  таблица'!NB20+'Проверочная  таблица'!NR20+'Проверочная  таблица'!EB20+'Проверочная  таблица'!OJ20+DT20+'Проверочная  таблица'!JR20+'Проверочная  таблица'!JX20+'Проверочная  таблица'!OR20+'Проверочная  таблица'!OZ20+JL20+AP20+AV20+FB20+FH20+CV20+SX20+EH20+TL20+QH20+EN20+EV20+LV20+MD20+SR20+GV20+SD20+RF20+KP20+KZ20+RL20+SJ20+CP20+QZ20+HL20+GF20+HR20+HX20+FZ20+DJ20+PX20+CB20+IP20+JF20+HD20+GL20+IV20</f>
        <v>261934865.61000001</v>
      </c>
      <c r="AO20" s="920">
        <f>'Проверочная  таблица'!VC20+'Проверочная  таблица'!VE20+BU20+BW20+CI20+CK20+BJ20+BN20+'Проверочная  таблица'!NJ20+'Проверочная  таблица'!NU20+'Проверочная  таблица'!EE20+'Проверочная  таблица'!ON20+DX20+'Проверочная  таблица'!JU20+'Проверочная  таблица'!KA20+'Проверочная  таблица'!OV20+'Проверочная  таблица'!PD20+JO20+AS20+AX20+FE20+FK20+DC20+TE20+EK20+TS20+QK20+ER20+EY20+LZ20+MH20+SU20+GZ20+SG20+RI20+KU20+LE20+RO20+SN20+CS20+RC20+HO20+GI20+HU20+IA20+GC20+DM20+QC20+CE20+IS20+JI20+HF20+GO20+IY20</f>
        <v>33572481.020000003</v>
      </c>
      <c r="AP20" s="957">
        <f t="shared" si="10"/>
        <v>50050215.740000002</v>
      </c>
      <c r="AQ20" s="789">
        <f>[1]Субсидия_факт!HV15</f>
        <v>46638015.740000002</v>
      </c>
      <c r="AR20" s="770">
        <f>[1]Субсидия_факт!MR15</f>
        <v>3412200</v>
      </c>
      <c r="AS20" s="957">
        <f t="shared" si="11"/>
        <v>1410000</v>
      </c>
      <c r="AT20" s="770">
        <v>1410000</v>
      </c>
      <c r="AU20" s="789"/>
      <c r="AV20" s="910">
        <f t="shared" si="12"/>
        <v>0</v>
      </c>
      <c r="AW20" s="770">
        <f>[1]Субсидия_факт!MV15</f>
        <v>0</v>
      </c>
      <c r="AX20" s="1224">
        <f t="shared" si="13"/>
        <v>0</v>
      </c>
      <c r="AY20" s="770"/>
      <c r="AZ20" s="1225">
        <f t="shared" si="14"/>
        <v>0</v>
      </c>
      <c r="BA20" s="770">
        <f t="shared" si="15"/>
        <v>0</v>
      </c>
      <c r="BB20" s="783">
        <f t="shared" si="16"/>
        <v>0</v>
      </c>
      <c r="BC20" s="789">
        <f t="shared" si="17"/>
        <v>0</v>
      </c>
      <c r="BD20" s="782">
        <f t="shared" si="18"/>
        <v>0</v>
      </c>
      <c r="BE20" s="770">
        <f>[1]Субсидия_факт!MX15</f>
        <v>0</v>
      </c>
      <c r="BF20" s="802">
        <f t="shared" si="19"/>
        <v>0</v>
      </c>
      <c r="BG20" s="770"/>
      <c r="BH20" s="801">
        <f t="shared" si="20"/>
        <v>77482340</v>
      </c>
      <c r="BI20" s="770">
        <f>[1]Субсидия_факт!KZ15</f>
        <v>77482340</v>
      </c>
      <c r="BJ20" s="957">
        <f t="shared" si="21"/>
        <v>0</v>
      </c>
      <c r="BK20" s="770"/>
      <c r="BL20" s="801">
        <f t="shared" si="22"/>
        <v>0</v>
      </c>
      <c r="BM20" s="770">
        <f>[1]Субсидия_факт!LB15</f>
        <v>0</v>
      </c>
      <c r="BN20" s="957">
        <f t="shared" si="23"/>
        <v>0</v>
      </c>
      <c r="BO20" s="770"/>
      <c r="BP20" s="1235">
        <f t="shared" si="24"/>
        <v>0</v>
      </c>
      <c r="BQ20" s="783">
        <f t="shared" si="25"/>
        <v>0</v>
      </c>
      <c r="BR20" s="1252">
        <f t="shared" si="26"/>
        <v>0</v>
      </c>
      <c r="BS20" s="1235">
        <f t="shared" si="27"/>
        <v>0</v>
      </c>
      <c r="BT20" s="801">
        <f>[1]Субсидия_факт!GV15</f>
        <v>0</v>
      </c>
      <c r="BU20" s="790"/>
      <c r="BV20" s="1253">
        <f>[1]Субсидия_факт!GX15</f>
        <v>0</v>
      </c>
      <c r="BW20" s="791"/>
      <c r="BX20" s="1252">
        <f t="shared" si="28"/>
        <v>0</v>
      </c>
      <c r="BY20" s="1235">
        <f t="shared" si="28"/>
        <v>0</v>
      </c>
      <c r="BZ20" s="783">
        <f>[1]Субсидия_факт!GZ15</f>
        <v>0</v>
      </c>
      <c r="CA20" s="785"/>
      <c r="CB20" s="801">
        <f t="shared" si="29"/>
        <v>46638015.740000002</v>
      </c>
      <c r="CC20" s="766">
        <f>[1]Субсидия_факт!HL15</f>
        <v>46638015.740000002</v>
      </c>
      <c r="CD20" s="770">
        <f>[1]Субсидия_факт!HN15</f>
        <v>0</v>
      </c>
      <c r="CE20" s="957">
        <f t="shared" si="30"/>
        <v>0</v>
      </c>
      <c r="CF20" s="770"/>
      <c r="CG20" s="770"/>
      <c r="CH20" s="957">
        <f>[1]Субсидия_факт!HB15</f>
        <v>0</v>
      </c>
      <c r="CI20" s="792"/>
      <c r="CJ20" s="957">
        <f>[1]Субсидия_факт!HD15</f>
        <v>0</v>
      </c>
      <c r="CK20" s="805"/>
      <c r="CL20" s="1226">
        <f t="shared" si="31"/>
        <v>0</v>
      </c>
      <c r="CM20" s="782">
        <f t="shared" si="31"/>
        <v>0</v>
      </c>
      <c r="CN20" s="1225">
        <f>[1]Субсидия_факт!HF15</f>
        <v>0</v>
      </c>
      <c r="CO20" s="753"/>
      <c r="CP20" s="801">
        <f t="shared" si="32"/>
        <v>0</v>
      </c>
      <c r="CQ20" s="766">
        <f>[1]Субсидия_факт!HP15</f>
        <v>0</v>
      </c>
      <c r="CR20" s="770">
        <f>[1]Субсидия_факт!HR15</f>
        <v>0</v>
      </c>
      <c r="CS20" s="957">
        <f t="shared" si="33"/>
        <v>0</v>
      </c>
      <c r="CT20" s="770"/>
      <c r="CU20" s="770"/>
      <c r="CV20" s="910">
        <f t="shared" si="34"/>
        <v>0</v>
      </c>
      <c r="CW20" s="763">
        <f>[1]Субсидия_факт!LR15</f>
        <v>0</v>
      </c>
      <c r="CX20" s="762">
        <f>[1]Субсидия_факт!LT15</f>
        <v>0</v>
      </c>
      <c r="CY20" s="754">
        <f>[1]Субсидия_факт!LV15</f>
        <v>0</v>
      </c>
      <c r="CZ20" s="762">
        <f>[1]Субсидия_факт!MB15</f>
        <v>0</v>
      </c>
      <c r="DA20" s="754">
        <f>[1]Субсидия_факт!MH15</f>
        <v>0</v>
      </c>
      <c r="DB20" s="762">
        <f>[1]Субсидия_факт!MJ15</f>
        <v>0</v>
      </c>
      <c r="DC20" s="910">
        <f t="shared" si="35"/>
        <v>0</v>
      </c>
      <c r="DD20" s="755"/>
      <c r="DE20" s="762"/>
      <c r="DF20" s="754"/>
      <c r="DG20" s="762"/>
      <c r="DH20" s="754"/>
      <c r="DI20" s="762"/>
      <c r="DJ20" s="920">
        <f t="shared" si="205"/>
        <v>0</v>
      </c>
      <c r="DK20" s="763">
        <f>[1]Субсидия_факт!LX15</f>
        <v>0</v>
      </c>
      <c r="DL20" s="762">
        <f>[1]Субсидия_факт!MD15</f>
        <v>0</v>
      </c>
      <c r="DM20" s="910">
        <f t="shared" si="37"/>
        <v>0</v>
      </c>
      <c r="DN20" s="763"/>
      <c r="DO20" s="764"/>
      <c r="DP20" s="1226">
        <f t="shared" si="206"/>
        <v>0</v>
      </c>
      <c r="DQ20" s="782">
        <f t="shared" si="207"/>
        <v>0</v>
      </c>
      <c r="DR20" s="1225">
        <f t="shared" si="208"/>
        <v>0</v>
      </c>
      <c r="DS20" s="753">
        <f t="shared" si="209"/>
        <v>0</v>
      </c>
      <c r="DT20" s="957">
        <f t="shared" si="210"/>
        <v>0</v>
      </c>
      <c r="DU20" s="789">
        <f>[1]Субсидия_факт!R15</f>
        <v>0</v>
      </c>
      <c r="DV20" s="766">
        <f>[1]Субсидия_факт!T15</f>
        <v>0</v>
      </c>
      <c r="DW20" s="770">
        <f>[1]Субсидия_факт!V15</f>
        <v>0</v>
      </c>
      <c r="DX20" s="957">
        <f t="shared" si="211"/>
        <v>0</v>
      </c>
      <c r="DY20" s="770"/>
      <c r="DZ20" s="770"/>
      <c r="EA20" s="770"/>
      <c r="EB20" s="801">
        <f t="shared" si="38"/>
        <v>0</v>
      </c>
      <c r="EC20" s="766">
        <f>[1]Субсидия_факт!AX15</f>
        <v>0</v>
      </c>
      <c r="ED20" s="767">
        <f>[1]Субсидия_факт!AZ15</f>
        <v>0</v>
      </c>
      <c r="EE20" s="957">
        <f t="shared" si="39"/>
        <v>0</v>
      </c>
      <c r="EF20" s="789"/>
      <c r="EG20" s="793"/>
      <c r="EH20" s="801">
        <f t="shared" si="40"/>
        <v>0</v>
      </c>
      <c r="EI20" s="766">
        <f>[1]Субсидия_факт!X15</f>
        <v>0</v>
      </c>
      <c r="EJ20" s="767">
        <f>[1]Субсидия_факт!Z15</f>
        <v>0</v>
      </c>
      <c r="EK20" s="957">
        <f t="shared" si="41"/>
        <v>0</v>
      </c>
      <c r="EL20" s="766"/>
      <c r="EM20" s="767"/>
      <c r="EN20" s="920">
        <f t="shared" si="212"/>
        <v>0</v>
      </c>
      <c r="EO20" s="763">
        <f>[1]Субсидия_факт!AP15</f>
        <v>0</v>
      </c>
      <c r="EP20" s="763">
        <f>[1]Субсидия_факт!AL15</f>
        <v>0</v>
      </c>
      <c r="EQ20" s="764">
        <f>[1]Субсидия_факт!AN15</f>
        <v>0</v>
      </c>
      <c r="ER20" s="920">
        <f t="shared" si="42"/>
        <v>0</v>
      </c>
      <c r="ES20" s="763"/>
      <c r="ET20" s="763"/>
      <c r="EU20" s="764"/>
      <c r="EV20" s="920">
        <f t="shared" si="43"/>
        <v>0</v>
      </c>
      <c r="EW20" s="763">
        <f>[1]Субсидия_факт!HH15</f>
        <v>0</v>
      </c>
      <c r="EX20" s="762">
        <f>[1]Субсидия_факт!HJ15</f>
        <v>0</v>
      </c>
      <c r="EY20" s="910">
        <f t="shared" si="44"/>
        <v>0</v>
      </c>
      <c r="EZ20" s="763"/>
      <c r="FA20" s="762"/>
      <c r="FB20" s="920">
        <f t="shared" si="45"/>
        <v>0</v>
      </c>
      <c r="FC20" s="766">
        <f>[1]Субсидия_факт!PK15</f>
        <v>0</v>
      </c>
      <c r="FD20" s="767">
        <f>[1]Субсидия_факт!PQ15</f>
        <v>0</v>
      </c>
      <c r="FE20" s="910">
        <f t="shared" si="46"/>
        <v>0</v>
      </c>
      <c r="FF20" s="763"/>
      <c r="FG20" s="764"/>
      <c r="FH20" s="920">
        <f t="shared" si="47"/>
        <v>423432.76</v>
      </c>
      <c r="FI20" s="763">
        <f>[1]Субсидия_факт!PM15</f>
        <v>110521.44</v>
      </c>
      <c r="FJ20" s="762">
        <f>[1]Субсидия_факт!PS15</f>
        <v>312911.32</v>
      </c>
      <c r="FK20" s="910">
        <f t="shared" si="48"/>
        <v>423432.76</v>
      </c>
      <c r="FL20" s="763">
        <v>110521.44</v>
      </c>
      <c r="FM20" s="764">
        <v>312911.32</v>
      </c>
      <c r="FN20" s="1233">
        <f t="shared" si="49"/>
        <v>423432.76</v>
      </c>
      <c r="FO20" s="763">
        <f t="shared" si="50"/>
        <v>110521.44</v>
      </c>
      <c r="FP20" s="762">
        <f t="shared" si="50"/>
        <v>312911.32</v>
      </c>
      <c r="FQ20" s="782">
        <f t="shared" si="51"/>
        <v>423432.76</v>
      </c>
      <c r="FR20" s="763">
        <f t="shared" si="52"/>
        <v>110521.44</v>
      </c>
      <c r="FS20" s="762">
        <f t="shared" si="52"/>
        <v>312911.32</v>
      </c>
      <c r="FT20" s="1233">
        <f t="shared" si="53"/>
        <v>0</v>
      </c>
      <c r="FU20" s="763">
        <f>[1]Субсидия_факт!PO15</f>
        <v>0</v>
      </c>
      <c r="FV20" s="762">
        <f>[1]Субсидия_факт!PU15</f>
        <v>0</v>
      </c>
      <c r="FW20" s="782">
        <f t="shared" si="54"/>
        <v>0</v>
      </c>
      <c r="FX20" s="763"/>
      <c r="FY20" s="764"/>
      <c r="FZ20" s="920">
        <f t="shared" si="55"/>
        <v>0</v>
      </c>
      <c r="GA20" s="766">
        <f>[1]Субсидия_факт!EP15</f>
        <v>0</v>
      </c>
      <c r="GB20" s="767">
        <f>[1]Субсидия_факт!ER15</f>
        <v>0</v>
      </c>
      <c r="GC20" s="1234">
        <f t="shared" si="56"/>
        <v>0</v>
      </c>
      <c r="GD20" s="766"/>
      <c r="GE20" s="767"/>
      <c r="GF20" s="801">
        <f t="shared" si="57"/>
        <v>0</v>
      </c>
      <c r="GG20" s="766">
        <f>[1]Субсидия_факт!JN15</f>
        <v>0</v>
      </c>
      <c r="GH20" s="767">
        <f>[1]Субсидия_факт!JP15</f>
        <v>0</v>
      </c>
      <c r="GI20" s="801">
        <f t="shared" si="58"/>
        <v>0</v>
      </c>
      <c r="GJ20" s="766"/>
      <c r="GK20" s="767"/>
      <c r="GL20" s="1235">
        <f t="shared" si="59"/>
        <v>0</v>
      </c>
      <c r="GM20" s="763">
        <f>[1]Субсидия_факт!JR15</f>
        <v>0</v>
      </c>
      <c r="GN20" s="764">
        <f>[1]Субсидия_факт!JV15</f>
        <v>0</v>
      </c>
      <c r="GO20" s="1235">
        <f t="shared" si="60"/>
        <v>0</v>
      </c>
      <c r="GP20" s="766"/>
      <c r="GQ20" s="793"/>
      <c r="GR20" s="1235">
        <f t="shared" si="213"/>
        <v>0</v>
      </c>
      <c r="GS20" s="783">
        <f t="shared" si="214"/>
        <v>0</v>
      </c>
      <c r="GT20" s="1252">
        <f t="shared" si="215"/>
        <v>0</v>
      </c>
      <c r="GU20" s="783">
        <f t="shared" si="216"/>
        <v>0</v>
      </c>
      <c r="GV20" s="1234">
        <f t="shared" si="61"/>
        <v>0</v>
      </c>
      <c r="GW20" s="766">
        <f>[1]Субсидия_факт!KL15</f>
        <v>0</v>
      </c>
      <c r="GX20" s="767">
        <f>[1]Субсидия_факт!KN15</f>
        <v>0</v>
      </c>
      <c r="GY20" s="766">
        <f>[1]Субсидия_факт!KP15</f>
        <v>0</v>
      </c>
      <c r="GZ20" s="801">
        <f t="shared" si="62"/>
        <v>0</v>
      </c>
      <c r="HA20" s="766"/>
      <c r="HB20" s="767"/>
      <c r="HC20" s="770"/>
      <c r="HD20" s="1235">
        <f t="shared" si="217"/>
        <v>0</v>
      </c>
      <c r="HE20" s="766">
        <f>[1]Субсидия_факт!KR15</f>
        <v>0</v>
      </c>
      <c r="HF20" s="1235">
        <f t="shared" si="217"/>
        <v>0</v>
      </c>
      <c r="HG20" s="770"/>
      <c r="HH20" s="1235">
        <f t="shared" si="218"/>
        <v>0</v>
      </c>
      <c r="HI20" s="1235">
        <f t="shared" si="219"/>
        <v>0</v>
      </c>
      <c r="HJ20" s="1235">
        <f t="shared" si="220"/>
        <v>0</v>
      </c>
      <c r="HK20" s="1235">
        <f t="shared" si="221"/>
        <v>0</v>
      </c>
      <c r="HL20" s="801">
        <f t="shared" si="63"/>
        <v>0</v>
      </c>
      <c r="HM20" s="766">
        <f>[1]Субсидия_факт!KV15</f>
        <v>0</v>
      </c>
      <c r="HN20" s="767">
        <f>[1]Субсидия_факт!KX15</f>
        <v>0</v>
      </c>
      <c r="HO20" s="957">
        <f t="shared" si="64"/>
        <v>0</v>
      </c>
      <c r="HP20" s="766"/>
      <c r="HQ20" s="767"/>
      <c r="HR20" s="801">
        <f t="shared" si="65"/>
        <v>0</v>
      </c>
      <c r="HS20" s="766"/>
      <c r="HT20" s="767"/>
      <c r="HU20" s="957">
        <f t="shared" si="66"/>
        <v>0</v>
      </c>
      <c r="HV20" s="766"/>
      <c r="HW20" s="767"/>
      <c r="HX20" s="801">
        <f t="shared" si="67"/>
        <v>0</v>
      </c>
      <c r="HY20" s="766">
        <f>[1]Субсидия_факт!FV15</f>
        <v>0</v>
      </c>
      <c r="HZ20" s="767">
        <f>[1]Субсидия_факт!FZ15</f>
        <v>0</v>
      </c>
      <c r="IA20" s="957">
        <f t="shared" si="68"/>
        <v>0</v>
      </c>
      <c r="IB20" s="766"/>
      <c r="IC20" s="767"/>
      <c r="ID20" s="1233">
        <f t="shared" si="69"/>
        <v>0</v>
      </c>
      <c r="IE20" s="763">
        <f t="shared" si="70"/>
        <v>0</v>
      </c>
      <c r="IF20" s="762">
        <f t="shared" si="70"/>
        <v>0</v>
      </c>
      <c r="IG20" s="782">
        <f t="shared" si="71"/>
        <v>0</v>
      </c>
      <c r="IH20" s="763">
        <f t="shared" si="72"/>
        <v>0</v>
      </c>
      <c r="II20" s="762">
        <f t="shared" si="72"/>
        <v>0</v>
      </c>
      <c r="IJ20" s="1233">
        <f t="shared" si="73"/>
        <v>0</v>
      </c>
      <c r="IK20" s="763">
        <f>[1]Субсидия_факт!FX15</f>
        <v>0</v>
      </c>
      <c r="IL20" s="762">
        <f>[1]Субсидия_факт!GB15</f>
        <v>0</v>
      </c>
      <c r="IM20" s="782">
        <f t="shared" si="74"/>
        <v>0</v>
      </c>
      <c r="IN20" s="763">
        <f t="shared" si="188"/>
        <v>0</v>
      </c>
      <c r="IO20" s="764">
        <f t="shared" si="189"/>
        <v>0</v>
      </c>
      <c r="IP20" s="801">
        <f t="shared" si="75"/>
        <v>0</v>
      </c>
      <c r="IQ20" s="763">
        <f>[1]Субсидия_факт!ED15</f>
        <v>0</v>
      </c>
      <c r="IR20" s="764">
        <f>[1]Субсидия_факт!EF15</f>
        <v>0</v>
      </c>
      <c r="IS20" s="957">
        <f t="shared" si="76"/>
        <v>0</v>
      </c>
      <c r="IT20" s="766"/>
      <c r="IU20" s="767"/>
      <c r="IV20" s="1259">
        <f t="shared" si="77"/>
        <v>0</v>
      </c>
      <c r="IW20" s="763">
        <f>[1]Субсидия_факт!EH15</f>
        <v>0</v>
      </c>
      <c r="IX20" s="764">
        <f>[1]Субсидия_факт!EL15</f>
        <v>0</v>
      </c>
      <c r="IY20" s="1254">
        <f t="shared" si="78"/>
        <v>0</v>
      </c>
      <c r="IZ20" s="766"/>
      <c r="JA20" s="793"/>
      <c r="JB20" s="1235">
        <f t="shared" si="222"/>
        <v>0</v>
      </c>
      <c r="JC20" s="1235">
        <f t="shared" si="223"/>
        <v>0</v>
      </c>
      <c r="JD20" s="1235">
        <f t="shared" si="224"/>
        <v>0</v>
      </c>
      <c r="JE20" s="783">
        <f t="shared" si="225"/>
        <v>0</v>
      </c>
      <c r="JF20" s="1234">
        <f t="shared" si="79"/>
        <v>0</v>
      </c>
      <c r="JG20" s="763">
        <f>[1]Субсидия_факт!BX15</f>
        <v>0</v>
      </c>
      <c r="JH20" s="764">
        <f>[1]Субсидия_факт!BZ15</f>
        <v>0</v>
      </c>
      <c r="JI20" s="957">
        <f t="shared" si="80"/>
        <v>0</v>
      </c>
      <c r="JJ20" s="766"/>
      <c r="JK20" s="767"/>
      <c r="JL20" s="801">
        <f t="shared" si="81"/>
        <v>0</v>
      </c>
      <c r="JM20" s="766">
        <f>[1]Субсидия_факт!ET15</f>
        <v>0</v>
      </c>
      <c r="JN20" s="767">
        <f>[1]Субсидия_факт!EV15</f>
        <v>0</v>
      </c>
      <c r="JO20" s="957">
        <f t="shared" si="82"/>
        <v>0</v>
      </c>
      <c r="JP20" s="766"/>
      <c r="JQ20" s="767"/>
      <c r="JR20" s="910">
        <f t="shared" si="83"/>
        <v>0</v>
      </c>
      <c r="JS20" s="763">
        <f>[1]Субсидия_факт!EX15</f>
        <v>0</v>
      </c>
      <c r="JT20" s="762">
        <f>[1]Субсидия_факт!FD15</f>
        <v>0</v>
      </c>
      <c r="JU20" s="910">
        <f t="shared" si="84"/>
        <v>0</v>
      </c>
      <c r="JV20" s="763"/>
      <c r="JW20" s="764"/>
      <c r="JX20" s="910">
        <f t="shared" si="85"/>
        <v>0</v>
      </c>
      <c r="JY20" s="763">
        <f>[1]Субсидия_факт!EZ15</f>
        <v>0</v>
      </c>
      <c r="JZ20" s="764">
        <f>[1]Субсидия_факт!FF15</f>
        <v>0</v>
      </c>
      <c r="KA20" s="910">
        <f t="shared" si="86"/>
        <v>0</v>
      </c>
      <c r="KB20" s="754"/>
      <c r="KC20" s="768"/>
      <c r="KD20" s="910">
        <f t="shared" si="87"/>
        <v>-83077.03</v>
      </c>
      <c r="KE20" s="755">
        <f>'Проверочная  таблица'!JY20-'Проверочная  таблица'!KK20</f>
        <v>-21600.03</v>
      </c>
      <c r="KF20" s="764">
        <f>'Проверочная  таблица'!JZ20-'Проверочная  таблица'!KL20</f>
        <v>-61477</v>
      </c>
      <c r="KG20" s="1225">
        <f t="shared" si="88"/>
        <v>0</v>
      </c>
      <c r="KH20" s="754">
        <f>'Проверочная  таблица'!KB20-'Проверочная  таблица'!KN20</f>
        <v>0</v>
      </c>
      <c r="KI20" s="771">
        <f>'Проверочная  таблица'!KC20-'Проверочная  таблица'!KO20</f>
        <v>0</v>
      </c>
      <c r="KJ20" s="910">
        <f t="shared" si="89"/>
        <v>83077.03</v>
      </c>
      <c r="KK20" s="763">
        <f>[1]Субсидия_факт!FB15</f>
        <v>21600.03</v>
      </c>
      <c r="KL20" s="762">
        <f>[1]Субсидия_факт!FH15</f>
        <v>61477</v>
      </c>
      <c r="KM20" s="782">
        <f t="shared" si="90"/>
        <v>0</v>
      </c>
      <c r="KN20" s="763"/>
      <c r="KO20" s="764"/>
      <c r="KP20" s="1217">
        <f t="shared" si="226"/>
        <v>760728.8</v>
      </c>
      <c r="KQ20" s="754">
        <f>[1]Субсидия_факт!OD15</f>
        <v>399890</v>
      </c>
      <c r="KR20" s="764">
        <f>[1]Субсидия_факт!OJ15</f>
        <v>256948.80000000002</v>
      </c>
      <c r="KS20" s="754">
        <f>[1]Субсидия_факт!OR15</f>
        <v>37768.97</v>
      </c>
      <c r="KT20" s="764">
        <f>[1]Субсидия_факт!OT15</f>
        <v>66121.03</v>
      </c>
      <c r="KU20" s="1217">
        <f t="shared" si="91"/>
        <v>0</v>
      </c>
      <c r="KV20" s="754"/>
      <c r="KW20" s="764"/>
      <c r="KX20" s="754"/>
      <c r="KY20" s="764"/>
      <c r="KZ20" s="1217">
        <f t="shared" si="227"/>
        <v>37850</v>
      </c>
      <c r="LA20" s="789">
        <f>[1]Субсидия_факт!OF15</f>
        <v>37850</v>
      </c>
      <c r="LB20" s="767">
        <f>[1]Субсидия_факт!OL15</f>
        <v>0</v>
      </c>
      <c r="LC20" s="789"/>
      <c r="LD20" s="767"/>
      <c r="LE20" s="1217">
        <f t="shared" si="92"/>
        <v>0</v>
      </c>
      <c r="LF20" s="754"/>
      <c r="LG20" s="764"/>
      <c r="LH20" s="754"/>
      <c r="LI20" s="764"/>
      <c r="LJ20" s="1219">
        <f t="shared" si="93"/>
        <v>-28190</v>
      </c>
      <c r="LK20" s="789">
        <f t="shared" si="94"/>
        <v>-28190</v>
      </c>
      <c r="LL20" s="767">
        <f t="shared" si="94"/>
        <v>0</v>
      </c>
      <c r="LM20" s="1219">
        <f t="shared" si="95"/>
        <v>0</v>
      </c>
      <c r="LN20" s="789">
        <f t="shared" si="96"/>
        <v>0</v>
      </c>
      <c r="LO20" s="767">
        <f t="shared" si="96"/>
        <v>0</v>
      </c>
      <c r="LP20" s="1219">
        <f t="shared" si="97"/>
        <v>66040</v>
      </c>
      <c r="LQ20" s="763">
        <f>[1]Субсидия_факт!OH15</f>
        <v>66040</v>
      </c>
      <c r="LR20" s="762">
        <f>[1]Субсидия_факт!ON15</f>
        <v>0</v>
      </c>
      <c r="LS20" s="1219">
        <f t="shared" si="98"/>
        <v>0</v>
      </c>
      <c r="LT20" s="755"/>
      <c r="LU20" s="764"/>
      <c r="LV20" s="957">
        <f t="shared" si="228"/>
        <v>0</v>
      </c>
      <c r="LW20" s="769">
        <f>[1]Субсидия_факт!DP15</f>
        <v>0</v>
      </c>
      <c r="LX20" s="754">
        <f>[1]Субсидия_факт!CB15</f>
        <v>0</v>
      </c>
      <c r="LY20" s="764">
        <f>[1]Субсидия_факт!CH15</f>
        <v>0</v>
      </c>
      <c r="LZ20" s="957">
        <f t="shared" si="99"/>
        <v>0</v>
      </c>
      <c r="MA20" s="769"/>
      <c r="MB20" s="754"/>
      <c r="MC20" s="764"/>
      <c r="MD20" s="957">
        <f t="shared" si="229"/>
        <v>0</v>
      </c>
      <c r="ME20" s="769">
        <f>[1]Субсидия_факт!DR15</f>
        <v>0</v>
      </c>
      <c r="MF20" s="754">
        <f>[1]Субсидия_факт!CD15</f>
        <v>0</v>
      </c>
      <c r="MG20" s="764">
        <f>[1]Субсидия_факт!CJ15</f>
        <v>0</v>
      </c>
      <c r="MH20" s="957">
        <f t="shared" si="100"/>
        <v>0</v>
      </c>
      <c r="MI20" s="769"/>
      <c r="MJ20" s="754"/>
      <c r="MK20" s="762"/>
      <c r="ML20" s="783">
        <f t="shared" si="101"/>
        <v>0</v>
      </c>
      <c r="MM20" s="766">
        <f>'Проверочная  таблица'!ME20-MU20</f>
        <v>0</v>
      </c>
      <c r="MN20" s="766">
        <f>'Проверочная  таблица'!MF20-MV20</f>
        <v>0</v>
      </c>
      <c r="MO20" s="767">
        <f>'Проверочная  таблица'!MG20-MW20</f>
        <v>0</v>
      </c>
      <c r="MP20" s="783">
        <f t="shared" si="102"/>
        <v>0</v>
      </c>
      <c r="MQ20" s="766">
        <f>'Проверочная  таблица'!MI20-MY20</f>
        <v>0</v>
      </c>
      <c r="MR20" s="766">
        <f>'Проверочная  таблица'!MJ20-MZ20</f>
        <v>0</v>
      </c>
      <c r="MS20" s="767">
        <f>'Проверочная  таблица'!MK20-NA20</f>
        <v>0</v>
      </c>
      <c r="MT20" s="783">
        <f t="shared" si="103"/>
        <v>0</v>
      </c>
      <c r="MU20" s="754">
        <f>[1]Субсидия_факт!DT15</f>
        <v>0</v>
      </c>
      <c r="MV20" s="754">
        <f>[1]Субсидия_факт!CF15</f>
        <v>0</v>
      </c>
      <c r="MW20" s="764">
        <f>[1]Субсидия_факт!CL15</f>
        <v>0</v>
      </c>
      <c r="MX20" s="783">
        <f t="shared" si="104"/>
        <v>0</v>
      </c>
      <c r="MY20" s="754"/>
      <c r="MZ20" s="754"/>
      <c r="NA20" s="764"/>
      <c r="NB20" s="1224">
        <f t="shared" si="230"/>
        <v>83077.03</v>
      </c>
      <c r="NC20" s="754">
        <f>[1]Субсидия_факт!CN15</f>
        <v>0</v>
      </c>
      <c r="ND20" s="762">
        <f>[1]Субсидия_факт!CP15</f>
        <v>0</v>
      </c>
      <c r="NE20" s="766">
        <f>[1]Субсидия_факт!CR15</f>
        <v>0</v>
      </c>
      <c r="NF20" s="767">
        <f>[1]Субсидия_факт!CT15</f>
        <v>0</v>
      </c>
      <c r="NG20" s="755">
        <f>[1]Субсидия_факт!DV15</f>
        <v>0</v>
      </c>
      <c r="NH20" s="763">
        <f>[1]Субсидия_факт!FJ15</f>
        <v>21600.03</v>
      </c>
      <c r="NI20" s="762">
        <f>[1]Субсидия_факт!FP15</f>
        <v>61477</v>
      </c>
      <c r="NJ20" s="910">
        <f t="shared" si="105"/>
        <v>83077.03</v>
      </c>
      <c r="NK20" s="754"/>
      <c r="NL20" s="764"/>
      <c r="NM20" s="770"/>
      <c r="NN20" s="794"/>
      <c r="NO20" s="754"/>
      <c r="NP20" s="754">
        <f>NH20</f>
        <v>21600.03</v>
      </c>
      <c r="NQ20" s="764">
        <f>NI20</f>
        <v>61477</v>
      </c>
      <c r="NR20" s="910">
        <f t="shared" si="231"/>
        <v>0</v>
      </c>
      <c r="NS20" s="763">
        <f>[1]Субсидия_факт!FL15</f>
        <v>0</v>
      </c>
      <c r="NT20" s="762">
        <f>[1]Субсидия_факт!FR15</f>
        <v>0</v>
      </c>
      <c r="NU20" s="910">
        <f t="shared" si="106"/>
        <v>0</v>
      </c>
      <c r="NV20" s="755"/>
      <c r="NW20" s="764"/>
      <c r="NX20" s="782">
        <f t="shared" si="107"/>
        <v>0</v>
      </c>
      <c r="NY20" s="763">
        <f>'Проверочная  таблица'!NS20-OE20</f>
        <v>0</v>
      </c>
      <c r="NZ20" s="764">
        <f>'Проверочная  таблица'!NT20-OF20</f>
        <v>0</v>
      </c>
      <c r="OA20" s="782">
        <f t="shared" si="108"/>
        <v>0</v>
      </c>
      <c r="OB20" s="754">
        <f>'Проверочная  таблица'!NV20-OH20</f>
        <v>0</v>
      </c>
      <c r="OC20" s="771">
        <f>'Проверочная  таблица'!NW20-OI20</f>
        <v>0</v>
      </c>
      <c r="OD20" s="782">
        <f t="shared" si="232"/>
        <v>0</v>
      </c>
      <c r="OE20" s="763">
        <f>[1]Субсидия_факт!FN15</f>
        <v>0</v>
      </c>
      <c r="OF20" s="762">
        <f>[1]Субсидия_факт!FT15</f>
        <v>0</v>
      </c>
      <c r="OG20" s="782">
        <f t="shared" si="109"/>
        <v>0</v>
      </c>
      <c r="OH20" s="754"/>
      <c r="OI20" s="764"/>
      <c r="OJ20" s="919">
        <f t="shared" si="233"/>
        <v>0</v>
      </c>
      <c r="OK20" s="763">
        <f>[1]Субсидия_факт!AR15</f>
        <v>0</v>
      </c>
      <c r="OL20" s="762">
        <f>[1]Субсидия_факт!AT15</f>
        <v>0</v>
      </c>
      <c r="OM20" s="763">
        <f>[1]Субсидия_факт!AV15</f>
        <v>0</v>
      </c>
      <c r="ON20" s="957">
        <f t="shared" si="110"/>
        <v>0</v>
      </c>
      <c r="OO20" s="770"/>
      <c r="OP20" s="767"/>
      <c r="OQ20" s="770"/>
      <c r="OR20" s="1238">
        <f t="shared" si="111"/>
        <v>9893329.0199999996</v>
      </c>
      <c r="OS20" s="763">
        <f>[1]Субсидия_факт!GD15</f>
        <v>0</v>
      </c>
      <c r="OT20" s="762">
        <f>[1]Субсидия_факт!GJ15</f>
        <v>9893329.0199999996</v>
      </c>
      <c r="OU20" s="770">
        <f>[1]Субсидия_факт!GP15</f>
        <v>0</v>
      </c>
      <c r="OV20" s="1238">
        <f t="shared" si="112"/>
        <v>0</v>
      </c>
      <c r="OW20" s="755"/>
      <c r="OX20" s="764"/>
      <c r="OY20" s="754"/>
      <c r="OZ20" s="1217">
        <f t="shared" si="234"/>
        <v>9893329.0199999996</v>
      </c>
      <c r="PA20" s="763">
        <f>[1]Субсидия_факт!GF15</f>
        <v>0</v>
      </c>
      <c r="PB20" s="762">
        <f>[1]Субсидия_факт!GL15</f>
        <v>0</v>
      </c>
      <c r="PC20" s="754">
        <f>[1]Субсидия_факт!GR15</f>
        <v>9893329.0199999996</v>
      </c>
      <c r="PD20" s="1217">
        <f t="shared" si="113"/>
        <v>2025240.75</v>
      </c>
      <c r="PE20" s="754"/>
      <c r="PF20" s="771"/>
      <c r="PG20" s="754">
        <v>2025240.75</v>
      </c>
      <c r="PH20" s="1219">
        <f t="shared" si="114"/>
        <v>9893329.0199999996</v>
      </c>
      <c r="PI20" s="789">
        <f>'Проверочная  таблица'!PA20-PQ20</f>
        <v>0</v>
      </c>
      <c r="PJ20" s="767">
        <f>'Проверочная  таблица'!PB20-PR20</f>
        <v>0</v>
      </c>
      <c r="PK20" s="770">
        <f>'Проверочная  таблица'!PC20-PS20</f>
        <v>9893329.0199999996</v>
      </c>
      <c r="PL20" s="1219">
        <f t="shared" si="235"/>
        <v>2025240.75</v>
      </c>
      <c r="PM20" s="755">
        <f>'Проверочная  таблица'!PE20-PU20</f>
        <v>0</v>
      </c>
      <c r="PN20" s="764">
        <f>'Проверочная  таблица'!PF20-PV20</f>
        <v>0</v>
      </c>
      <c r="PO20" s="754">
        <f>'Проверочная  таблица'!PG20-PW20</f>
        <v>2025240.75</v>
      </c>
      <c r="PP20" s="1219">
        <f t="shared" si="115"/>
        <v>0</v>
      </c>
      <c r="PQ20" s="763">
        <f>[1]Субсидия_факт!GH15</f>
        <v>0</v>
      </c>
      <c r="PR20" s="762">
        <f>[1]Субсидия_факт!GN15</f>
        <v>0</v>
      </c>
      <c r="PS20" s="763">
        <f>[1]Субсидия_факт!GT15</f>
        <v>0</v>
      </c>
      <c r="PT20" s="1219">
        <f t="shared" si="116"/>
        <v>0</v>
      </c>
      <c r="PU20" s="755">
        <f t="shared" si="193"/>
        <v>0</v>
      </c>
      <c r="PV20" s="764">
        <f t="shared" si="194"/>
        <v>0</v>
      </c>
      <c r="PW20" s="763"/>
      <c r="PX20" s="910">
        <f t="shared" si="195"/>
        <v>0</v>
      </c>
      <c r="PY20" s="766">
        <f>[1]Субсидия_факт!JB15</f>
        <v>0</v>
      </c>
      <c r="PZ20" s="767">
        <f>[1]Субсидия_факт!JH15</f>
        <v>0</v>
      </c>
      <c r="QA20" s="766"/>
      <c r="QB20" s="767"/>
      <c r="QC20" s="910">
        <f t="shared" si="196"/>
        <v>0</v>
      </c>
      <c r="QD20" s="770"/>
      <c r="QE20" s="794"/>
      <c r="QF20" s="770"/>
      <c r="QG20" s="794"/>
      <c r="QH20" s="957">
        <f t="shared" si="117"/>
        <v>1687195.98</v>
      </c>
      <c r="QI20" s="766">
        <f>[1]Субсидия_факт!JD15</f>
        <v>84359.8</v>
      </c>
      <c r="QJ20" s="767">
        <f>[1]Субсидия_факт!JJ15</f>
        <v>1602836.18</v>
      </c>
      <c r="QK20" s="1253">
        <f t="shared" si="118"/>
        <v>0</v>
      </c>
      <c r="QL20" s="770"/>
      <c r="QM20" s="794"/>
      <c r="QN20" s="783">
        <f t="shared" si="236"/>
        <v>1687195.98</v>
      </c>
      <c r="QO20" s="770">
        <f t="shared" si="119"/>
        <v>84359.8</v>
      </c>
      <c r="QP20" s="767">
        <f t="shared" si="119"/>
        <v>1602836.18</v>
      </c>
      <c r="QQ20" s="1235">
        <f t="shared" si="120"/>
        <v>0</v>
      </c>
      <c r="QR20" s="766">
        <f t="shared" si="121"/>
        <v>0</v>
      </c>
      <c r="QS20" s="767">
        <f t="shared" si="121"/>
        <v>0</v>
      </c>
      <c r="QT20" s="1235">
        <f t="shared" si="122"/>
        <v>0</v>
      </c>
      <c r="QU20" s="766">
        <f>[1]Субсидия_факт!JF15</f>
        <v>0</v>
      </c>
      <c r="QV20" s="767">
        <f>[1]Субсидия_факт!JL15</f>
        <v>0</v>
      </c>
      <c r="QW20" s="783">
        <f t="shared" si="237"/>
        <v>0</v>
      </c>
      <c r="QX20" s="770"/>
      <c r="QY20" s="794"/>
      <c r="QZ20" s="801">
        <f t="shared" si="123"/>
        <v>0</v>
      </c>
      <c r="RA20" s="766">
        <f>[1]Субсидия_факт!CV15</f>
        <v>0</v>
      </c>
      <c r="RB20" s="767">
        <f>[1]Субсидия_факт!CX15</f>
        <v>0</v>
      </c>
      <c r="RC20" s="957">
        <f t="shared" si="124"/>
        <v>0</v>
      </c>
      <c r="RD20" s="766"/>
      <c r="RE20" s="767"/>
      <c r="RF20" s="801">
        <f t="shared" si="125"/>
        <v>0</v>
      </c>
      <c r="RG20" s="766">
        <f>[1]Субсидия_факт!CZ15</f>
        <v>0</v>
      </c>
      <c r="RH20" s="767">
        <f>[1]Субсидия_факт!DF15</f>
        <v>0</v>
      </c>
      <c r="RI20" s="957">
        <f t="shared" si="126"/>
        <v>0</v>
      </c>
      <c r="RJ20" s="766"/>
      <c r="RK20" s="767"/>
      <c r="RL20" s="801">
        <f t="shared" si="127"/>
        <v>0</v>
      </c>
      <c r="RM20" s="766">
        <f>[1]Субсидия_факт!DB15</f>
        <v>0</v>
      </c>
      <c r="RN20" s="767">
        <f>[1]Субсидия_факт!DH15</f>
        <v>0</v>
      </c>
      <c r="RO20" s="957">
        <f t="shared" si="128"/>
        <v>0</v>
      </c>
      <c r="RP20" s="766"/>
      <c r="RQ20" s="767"/>
      <c r="RR20" s="1235">
        <f t="shared" si="129"/>
        <v>0</v>
      </c>
      <c r="RS20" s="766">
        <f t="shared" si="130"/>
        <v>0</v>
      </c>
      <c r="RT20" s="767">
        <f t="shared" si="130"/>
        <v>0</v>
      </c>
      <c r="RU20" s="783">
        <f t="shared" si="131"/>
        <v>0</v>
      </c>
      <c r="RV20" s="766">
        <f t="shared" si="132"/>
        <v>0</v>
      </c>
      <c r="RW20" s="767">
        <f t="shared" si="132"/>
        <v>0</v>
      </c>
      <c r="RX20" s="801">
        <f t="shared" si="133"/>
        <v>0</v>
      </c>
      <c r="RY20" s="766">
        <f>[1]Субсидия_факт!DD15</f>
        <v>0</v>
      </c>
      <c r="RZ20" s="767">
        <f>[1]Субсидия_факт!DJ15</f>
        <v>0</v>
      </c>
      <c r="SA20" s="783">
        <f t="shared" si="134"/>
        <v>0</v>
      </c>
      <c r="SB20" s="766"/>
      <c r="SC20" s="767"/>
      <c r="SD20" s="801">
        <f t="shared" si="135"/>
        <v>0</v>
      </c>
      <c r="SE20" s="766">
        <f>[1]Субсидия_факт!DL15</f>
        <v>0</v>
      </c>
      <c r="SF20" s="767">
        <f>[1]Субсидия_факт!DN15</f>
        <v>0</v>
      </c>
      <c r="SG20" s="1253">
        <f t="shared" si="136"/>
        <v>0</v>
      </c>
      <c r="SH20" s="789"/>
      <c r="SI20" s="793"/>
      <c r="SJ20" s="957">
        <f t="shared" si="238"/>
        <v>0</v>
      </c>
      <c r="SK20" s="763">
        <f>[1]Субсидия_факт!BJ15</f>
        <v>0</v>
      </c>
      <c r="SL20" s="766">
        <f>[1]Субсидия_факт!BF15</f>
        <v>0</v>
      </c>
      <c r="SM20" s="793">
        <f>[1]Субсидия_факт!BH15</f>
        <v>0</v>
      </c>
      <c r="SN20" s="957">
        <f t="shared" si="137"/>
        <v>0</v>
      </c>
      <c r="SO20" s="795"/>
      <c r="SP20" s="789"/>
      <c r="SQ20" s="793"/>
      <c r="SR20" s="801">
        <f t="shared" si="138"/>
        <v>0</v>
      </c>
      <c r="SS20" s="766">
        <f>[1]Субсидия_факт!AD15</f>
        <v>0</v>
      </c>
      <c r="ST20" s="767">
        <f>[1]Субсидия_факт!AF15</f>
        <v>0</v>
      </c>
      <c r="SU20" s="957">
        <f t="shared" si="139"/>
        <v>0</v>
      </c>
      <c r="SV20" s="789"/>
      <c r="SW20" s="793"/>
      <c r="SX20" s="801">
        <f t="shared" si="239"/>
        <v>0</v>
      </c>
      <c r="SY20" s="766">
        <f>[1]Субсидия_факт!ID15</f>
        <v>0</v>
      </c>
      <c r="SZ20" s="767">
        <f>[1]Субсидия_факт!IJ15</f>
        <v>0</v>
      </c>
      <c r="TA20" s="789">
        <f>[1]Субсидия_факт!IP15</f>
        <v>0</v>
      </c>
      <c r="TB20" s="767">
        <f>[1]Субсидия_факт!IV15</f>
        <v>0</v>
      </c>
      <c r="TC20" s="1028">
        <f>[1]Субсидия_факт!JZ15</f>
        <v>0</v>
      </c>
      <c r="TD20" s="793">
        <f>[1]Субсидия_факт!KF15</f>
        <v>0</v>
      </c>
      <c r="TE20" s="957">
        <f t="shared" si="140"/>
        <v>0</v>
      </c>
      <c r="TF20" s="1162"/>
      <c r="TG20" s="794"/>
      <c r="TH20" s="1162"/>
      <c r="TI20" s="794"/>
      <c r="TJ20" s="1028"/>
      <c r="TK20" s="793"/>
      <c r="TL20" s="957">
        <f t="shared" si="141"/>
        <v>0</v>
      </c>
      <c r="TM20" s="766">
        <f>[1]Субсидия_факт!IF15</f>
        <v>0</v>
      </c>
      <c r="TN20" s="767">
        <f>[1]Субсидия_факт!IL15</f>
        <v>0</v>
      </c>
      <c r="TO20" s="789">
        <f>[1]Субсидия_факт!IR15</f>
        <v>0</v>
      </c>
      <c r="TP20" s="767">
        <f>[1]Субсидия_факт!IX15</f>
        <v>0</v>
      </c>
      <c r="TQ20" s="789">
        <f>[1]Субсидия_факт!KB15</f>
        <v>0</v>
      </c>
      <c r="TR20" s="767">
        <f>[1]Субсидия_факт!KH15</f>
        <v>0</v>
      </c>
      <c r="TS20" s="957">
        <f t="shared" si="142"/>
        <v>0</v>
      </c>
      <c r="TT20" s="770"/>
      <c r="TU20" s="794"/>
      <c r="TV20" s="1028"/>
      <c r="TW20" s="794"/>
      <c r="TX20" s="770"/>
      <c r="TY20" s="794"/>
      <c r="TZ20" s="923">
        <f t="shared" si="143"/>
        <v>-1995000</v>
      </c>
      <c r="UA20" s="763">
        <f t="shared" si="144"/>
        <v>0</v>
      </c>
      <c r="UB20" s="764">
        <f t="shared" si="144"/>
        <v>0</v>
      </c>
      <c r="UC20" s="763">
        <f t="shared" si="144"/>
        <v>-99750</v>
      </c>
      <c r="UD20" s="764">
        <f t="shared" si="144"/>
        <v>-1895250</v>
      </c>
      <c r="UE20" s="755">
        <f t="shared" si="144"/>
        <v>0</v>
      </c>
      <c r="UF20" s="764">
        <f t="shared" si="144"/>
        <v>0</v>
      </c>
      <c r="UG20" s="782">
        <f t="shared" si="145"/>
        <v>0</v>
      </c>
      <c r="UH20" s="763">
        <f t="shared" si="146"/>
        <v>0</v>
      </c>
      <c r="UI20" s="764">
        <f t="shared" si="146"/>
        <v>0</v>
      </c>
      <c r="UJ20" s="763">
        <f t="shared" si="146"/>
        <v>0</v>
      </c>
      <c r="UK20" s="764">
        <f t="shared" si="146"/>
        <v>0</v>
      </c>
      <c r="UL20" s="755">
        <f t="shared" si="146"/>
        <v>0</v>
      </c>
      <c r="UM20" s="764">
        <f t="shared" si="146"/>
        <v>0</v>
      </c>
      <c r="UN20" s="936">
        <f t="shared" si="147"/>
        <v>1995000</v>
      </c>
      <c r="UO20" s="766">
        <f>[1]Субсидия_факт!IH15</f>
        <v>0</v>
      </c>
      <c r="UP20" s="767">
        <f>[1]Субсидия_факт!IN15</f>
        <v>0</v>
      </c>
      <c r="UQ20" s="789">
        <f>[1]Субсидия_факт!IT15</f>
        <v>99750</v>
      </c>
      <c r="UR20" s="767">
        <f>[1]Субсидия_факт!IZ15</f>
        <v>1895250</v>
      </c>
      <c r="US20" s="789">
        <f>[1]Субсидия_факт!KD15</f>
        <v>0</v>
      </c>
      <c r="UT20" s="767">
        <f>[1]Субсидия_факт!KJ15</f>
        <v>0</v>
      </c>
      <c r="UU20" s="783">
        <f t="shared" si="148"/>
        <v>0</v>
      </c>
      <c r="UV20" s="1028"/>
      <c r="UW20" s="794"/>
      <c r="UX20" s="1028"/>
      <c r="UY20" s="794"/>
      <c r="UZ20" s="1028"/>
      <c r="VA20" s="794"/>
      <c r="VB20" s="957">
        <f>'Прочая  субсидия_МР  и  ГО'!B15</f>
        <v>61622642.5</v>
      </c>
      <c r="VC20" s="957">
        <f>'Прочая  субсидия_МР  и  ГО'!C15</f>
        <v>29577670.809999999</v>
      </c>
      <c r="VD20" s="1234">
        <f>'Прочая  субсидия_БП'!B15</f>
        <v>3362709.0199999996</v>
      </c>
      <c r="VE20" s="801">
        <f>'Прочая  субсидия_БП'!C15</f>
        <v>53059.669999999984</v>
      </c>
      <c r="VF20" s="1255">
        <f>'Прочая  субсидия_БП'!D15</f>
        <v>2537559.7699999996</v>
      </c>
      <c r="VG20" s="1248">
        <f>'Прочая  субсидия_БП'!E15</f>
        <v>53059.669999999984</v>
      </c>
      <c r="VH20" s="1249">
        <f>'Прочая  субсидия_БП'!F15</f>
        <v>825149.25</v>
      </c>
      <c r="VI20" s="1255">
        <f>'Прочая  субсидия_БП'!G15</f>
        <v>0</v>
      </c>
      <c r="VJ20" s="801">
        <f t="shared" si="149"/>
        <v>289200218.29000008</v>
      </c>
      <c r="VK20" s="770">
        <f>'Проверочная  таблица'!WM20+'Проверочная  таблица'!VP20+'Проверочная  таблица'!VR20+WG20</f>
        <v>282165571.87000006</v>
      </c>
      <c r="VL20" s="795">
        <f>'Проверочная  таблица'!WN20+'Проверочная  таблица'!VV20+'Проверочная  таблица'!WB20+'Проверочная  таблица'!VX20+'Проверочная  таблица'!VZ20+WD20+WH20+VT20</f>
        <v>7034646.4199999999</v>
      </c>
      <c r="VM20" s="957">
        <f t="shared" si="150"/>
        <v>168819382.69</v>
      </c>
      <c r="VN20" s="770">
        <f>'Проверочная  таблица'!WP20+'Проверочная  таблица'!VQ20+'Проверочная  таблица'!VS20+WJ20</f>
        <v>164795416.59999999</v>
      </c>
      <c r="VO20" s="795">
        <f>'Проверочная  таблица'!WQ20+'Проверочная  таблица'!VW20+'Проверочная  таблица'!WC20+'Проверочная  таблица'!VY20+'Проверочная  таблица'!WA20+WE20+WK20+VU20</f>
        <v>4023966.09</v>
      </c>
      <c r="VP20" s="1253">
        <f>'Субвенция  на  полномочия'!B15</f>
        <v>270627606.41000003</v>
      </c>
      <c r="VQ20" s="1234">
        <f>'Субвенция  на  полномочия'!C15</f>
        <v>158590686.87</v>
      </c>
      <c r="VR20" s="790">
        <f>[1]Субвенция_факт!M14*1000</f>
        <v>8748749</v>
      </c>
      <c r="VS20" s="796">
        <v>4600000</v>
      </c>
      <c r="VT20" s="790">
        <f>[1]Субвенция_факт!AE14*1000</f>
        <v>0</v>
      </c>
      <c r="VU20" s="796"/>
      <c r="VV20" s="790">
        <f>[1]Субвенция_факт!AF14*1000</f>
        <v>1769300</v>
      </c>
      <c r="VW20" s="796">
        <f>ВУС!E56</f>
        <v>724825.59999999986</v>
      </c>
      <c r="VX20" s="1256">
        <f>[1]Субвенция_факт!AG14*1000</f>
        <v>0</v>
      </c>
      <c r="VY20" s="797"/>
      <c r="VZ20" s="792">
        <f>[1]Субвенция_факт!E14*1000</f>
        <v>0</v>
      </c>
      <c r="WA20" s="797"/>
      <c r="WB20" s="792">
        <f>[1]Субвенция_факт!F14*1000</f>
        <v>0</v>
      </c>
      <c r="WC20" s="797"/>
      <c r="WD20" s="791">
        <f>[1]Субвенция_факт!G14*1000</f>
        <v>0</v>
      </c>
      <c r="WE20" s="796"/>
      <c r="WF20" s="801">
        <f t="shared" si="151"/>
        <v>6189657.3300000001</v>
      </c>
      <c r="WG20" s="766">
        <f>[1]Субвенция_факт!P14*1000</f>
        <v>1609310.9100000001</v>
      </c>
      <c r="WH20" s="767">
        <f>[1]Субвенция_факт!Q14*1000</f>
        <v>4580346.42</v>
      </c>
      <c r="WI20" s="957">
        <f t="shared" si="152"/>
        <v>3979729.7399999998</v>
      </c>
      <c r="WJ20" s="770">
        <v>1034729.73</v>
      </c>
      <c r="WK20" s="798">
        <v>2945000.01</v>
      </c>
      <c r="WL20" s="957">
        <f t="shared" si="153"/>
        <v>1864905.5500000003</v>
      </c>
      <c r="WM20" s="799">
        <f>[1]Субвенция_факт!X14*1000</f>
        <v>1179905.5500000003</v>
      </c>
      <c r="WN20" s="800">
        <f>[1]Субвенция_факт!W14*1000</f>
        <v>685000</v>
      </c>
      <c r="WO20" s="957">
        <f t="shared" si="154"/>
        <v>924140.48</v>
      </c>
      <c r="WP20" s="770">
        <v>570000</v>
      </c>
      <c r="WQ20" s="798">
        <v>354140.48</v>
      </c>
      <c r="WR20" s="957">
        <f t="shared" si="240"/>
        <v>77793532.690000013</v>
      </c>
      <c r="WS20" s="957">
        <f t="shared" si="241"/>
        <v>24839801.340000004</v>
      </c>
      <c r="WT20" s="1253">
        <f t="shared" si="155"/>
        <v>0</v>
      </c>
      <c r="WU20" s="799">
        <f>'[1]Иные межбюджетные трансферты'!AM15</f>
        <v>0</v>
      </c>
      <c r="WV20" s="800">
        <f>'[1]Иные межбюджетные трансферты'!AO15</f>
        <v>0</v>
      </c>
      <c r="WW20" s="1253">
        <f t="shared" si="156"/>
        <v>0</v>
      </c>
      <c r="WX20" s="799"/>
      <c r="WY20" s="800"/>
      <c r="WZ20" s="957">
        <f t="shared" si="157"/>
        <v>1887333.97</v>
      </c>
      <c r="XA20" s="799">
        <f>'[1]Иные межбюджетные трансферты'!AI15</f>
        <v>94366.7</v>
      </c>
      <c r="XB20" s="800">
        <f>'[1]Иные межбюджетные трансферты'!AK15</f>
        <v>1792967.27</v>
      </c>
      <c r="XC20" s="957">
        <f t="shared" si="158"/>
        <v>1258223.1399999999</v>
      </c>
      <c r="XD20" s="799">
        <v>62911.13</v>
      </c>
      <c r="XE20" s="800">
        <v>1195312.01</v>
      </c>
      <c r="XF20" s="957">
        <f t="shared" si="159"/>
        <v>11124208</v>
      </c>
      <c r="XG20" s="799">
        <f>'[1]Иные межбюджетные трансферты'!I15</f>
        <v>0</v>
      </c>
      <c r="XH20" s="800">
        <f>'[1]Иные межбюджетные трансферты'!K15</f>
        <v>11124208</v>
      </c>
      <c r="XI20" s="957">
        <f t="shared" si="242"/>
        <v>10546200</v>
      </c>
      <c r="XJ20" s="786"/>
      <c r="XK20" s="800">
        <v>10546200</v>
      </c>
      <c r="XL20" s="957">
        <f t="shared" si="161"/>
        <v>0</v>
      </c>
      <c r="XM20" s="789"/>
      <c r="XN20" s="957">
        <f t="shared" si="162"/>
        <v>0</v>
      </c>
      <c r="XO20" s="789"/>
      <c r="XP20" s="801">
        <f t="shared" si="163"/>
        <v>0</v>
      </c>
      <c r="XQ20" s="766">
        <f>'[1]Иные межбюджетные трансферты'!M15</f>
        <v>0</v>
      </c>
      <c r="XR20" s="957">
        <f t="shared" si="164"/>
        <v>0</v>
      </c>
      <c r="XS20" s="770"/>
      <c r="XT20" s="1252">
        <f t="shared" si="165"/>
        <v>0</v>
      </c>
      <c r="XU20" s="783">
        <f t="shared" si="166"/>
        <v>0</v>
      </c>
      <c r="XV20" s="1252">
        <f t="shared" si="167"/>
        <v>0</v>
      </c>
      <c r="XW20" s="783">
        <f t="shared" si="168"/>
        <v>0</v>
      </c>
      <c r="XX20" s="957">
        <f t="shared" si="243"/>
        <v>55752430.520000003</v>
      </c>
      <c r="XY20" s="787">
        <f>'[1]Иные межбюджетные трансферты'!E15</f>
        <v>0</v>
      </c>
      <c r="XZ20" s="799">
        <f>'[1]Иные межбюджетные трансферты'!G15</f>
        <v>5649890</v>
      </c>
      <c r="YA20" s="786">
        <f>'[1]Иные межбюджетные трансферты'!Q15</f>
        <v>0</v>
      </c>
      <c r="YB20" s="787">
        <f>'[1]Иные межбюджетные трансферты'!W15</f>
        <v>0</v>
      </c>
      <c r="YC20" s="786">
        <f>'[1]Иные межбюджетные трансферты'!Y15</f>
        <v>10085600</v>
      </c>
      <c r="YD20" s="1116">
        <f>'[1]Иные межбюджетные трансферты'!AE15</f>
        <v>38286526.810000002</v>
      </c>
      <c r="YE20" s="786">
        <f>'[1]Иные межбюджетные трансферты'!AQ15</f>
        <v>0</v>
      </c>
      <c r="YF20" s="766">
        <f>'[1]Иные межбюджетные трансферты'!AW15</f>
        <v>0</v>
      </c>
      <c r="YG20" s="786">
        <f>'[1]Иные межбюджетные трансферты'!AY15</f>
        <v>0</v>
      </c>
      <c r="YH20" s="1116">
        <f>'[1]Иные межбюджетные трансферты'!BA15</f>
        <v>1730413.71</v>
      </c>
      <c r="YI20" s="957">
        <f t="shared" si="244"/>
        <v>13035378.200000001</v>
      </c>
      <c r="YJ20" s="786"/>
      <c r="YK20" s="786"/>
      <c r="YL20" s="755"/>
      <c r="YM20" s="786"/>
      <c r="YN20" s="751">
        <f t="shared" si="245"/>
        <v>10085600</v>
      </c>
      <c r="YO20" s="751">
        <v>2361204.06</v>
      </c>
      <c r="YP20" s="751"/>
      <c r="YQ20" s="751"/>
      <c r="YR20" s="751"/>
      <c r="YS20" s="751">
        <v>588574.14</v>
      </c>
      <c r="YT20" s="957">
        <f t="shared" si="169"/>
        <v>9029560.1999999993</v>
      </c>
      <c r="YU20" s="799">
        <f>'[1]Иные межбюджетные трансферты'!S15</f>
        <v>0</v>
      </c>
      <c r="YV20" s="786">
        <f>'[1]Иные межбюджетные трансферты'!AA15</f>
        <v>0</v>
      </c>
      <c r="YW20" s="1116">
        <f>'[1]Иные межбюджетные трансферты'!AG15</f>
        <v>5291224.71</v>
      </c>
      <c r="YX20" s="787">
        <f>'[1]Иные межбюджетные трансферты'!AS15</f>
        <v>0</v>
      </c>
      <c r="YY20" s="751">
        <f>'[1]Иные межбюджетные трансферты'!BC15</f>
        <v>3738335.4899999998</v>
      </c>
      <c r="YZ20" s="957">
        <f t="shared" si="170"/>
        <v>0</v>
      </c>
      <c r="ZA20" s="769"/>
      <c r="ZB20" s="769">
        <f t="shared" si="246"/>
        <v>0</v>
      </c>
      <c r="ZC20" s="769"/>
      <c r="ZD20" s="751"/>
      <c r="ZE20" s="751"/>
      <c r="ZF20" s="783">
        <f t="shared" si="171"/>
        <v>9029560.1999999993</v>
      </c>
      <c r="ZG20" s="763">
        <f>'Проверочная  таблица'!YU20-ZS20</f>
        <v>0</v>
      </c>
      <c r="ZH20" s="763">
        <f>'Проверочная  таблица'!YV20-ZT20</f>
        <v>0</v>
      </c>
      <c r="ZI20" s="763">
        <f>'Проверочная  таблица'!YW20-ZU20</f>
        <v>5291224.71</v>
      </c>
      <c r="ZJ20" s="763">
        <f>'Проверочная  таблица'!YX20-ZV20</f>
        <v>0</v>
      </c>
      <c r="ZK20" s="763">
        <f>'Проверочная  таблица'!YY20-ZW20</f>
        <v>3738335.4899999998</v>
      </c>
      <c r="ZL20" s="783">
        <f t="shared" si="172"/>
        <v>0</v>
      </c>
      <c r="ZM20" s="763">
        <f>'Проверочная  таблица'!ZA20-ZY20</f>
        <v>0</v>
      </c>
      <c r="ZN20" s="763">
        <f>'Проверочная  таблица'!ZB20-ZZ20</f>
        <v>0</v>
      </c>
      <c r="ZO20" s="763">
        <f>'Проверочная  таблица'!ZC20-AAA20</f>
        <v>0</v>
      </c>
      <c r="ZP20" s="763">
        <f>'Проверочная  таблица'!ZD20-AAB20</f>
        <v>0</v>
      </c>
      <c r="ZQ20" s="763">
        <f>'Проверочная  таблица'!ZE20-AAC20</f>
        <v>0</v>
      </c>
      <c r="ZR20" s="783">
        <f t="shared" si="173"/>
        <v>0</v>
      </c>
      <c r="ZS20" s="799">
        <f>'[1]Иные межбюджетные трансферты'!U15</f>
        <v>0</v>
      </c>
      <c r="ZT20" s="786">
        <f>'[1]Иные межбюджетные трансферты'!AC15</f>
        <v>0</v>
      </c>
      <c r="ZU20" s="787"/>
      <c r="ZV20" s="799">
        <f>'[1]Иные межбюджетные трансферты'!AU15</f>
        <v>0</v>
      </c>
      <c r="ZW20" s="751"/>
      <c r="ZX20" s="783">
        <f t="shared" si="174"/>
        <v>0</v>
      </c>
      <c r="ZY20" s="769"/>
      <c r="ZZ20" s="769">
        <f t="shared" si="247"/>
        <v>0</v>
      </c>
      <c r="AAA20" s="769"/>
      <c r="AAB20" s="751"/>
      <c r="AAC20" s="751"/>
      <c r="AAD20" s="957">
        <f>AAF20+'Проверочная  таблица'!AAN20+AAJ20+'Проверочная  таблица'!AAR20+AAL20+'Проверочная  таблица'!AAT20</f>
        <v>0</v>
      </c>
      <c r="AAE20" s="957">
        <f>AAG20+'Проверочная  таблица'!AAO20+AAK20+'Проверочная  таблица'!AAS20+AAM20+'Проверочная  таблица'!AAU20</f>
        <v>0</v>
      </c>
      <c r="AAF20" s="801"/>
      <c r="AAG20" s="801"/>
      <c r="AAH20" s="801"/>
      <c r="AAI20" s="801"/>
      <c r="AAJ20" s="1235">
        <f t="shared" si="175"/>
        <v>0</v>
      </c>
      <c r="AAK20" s="783">
        <f t="shared" si="175"/>
        <v>0</v>
      </c>
      <c r="AAL20" s="802"/>
      <c r="AAM20" s="783"/>
      <c r="AAN20" s="801"/>
      <c r="AAO20" s="801"/>
      <c r="AAP20" s="801"/>
      <c r="AAQ20" s="801"/>
      <c r="AAR20" s="1235">
        <f t="shared" si="176"/>
        <v>0</v>
      </c>
      <c r="AAS20" s="783">
        <f t="shared" si="176"/>
        <v>0</v>
      </c>
      <c r="AAT20" s="783"/>
      <c r="AAU20" s="783"/>
      <c r="AAV20" s="1246">
        <f>'Проверочная  таблица'!AAN20+'Проверочная  таблица'!AAP20</f>
        <v>0</v>
      </c>
      <c r="AAW20" s="1246">
        <f>'Проверочная  таблица'!AAO20+'Проверочная  таблица'!AAQ20</f>
        <v>0</v>
      </c>
    </row>
    <row r="21" spans="1:725" ht="24" customHeight="1" x14ac:dyDescent="0.25">
      <c r="A21" s="803" t="s">
        <v>1309</v>
      </c>
      <c r="B21" s="801">
        <f>D21+AN21+'Проверочная  таблица'!VJ21+'Проверочная  таблица'!WR21</f>
        <v>751289871.16000009</v>
      </c>
      <c r="C21" s="957">
        <f>E21+'Проверочная  таблица'!VM21+AO21+'Проверочная  таблица'!WS21</f>
        <v>353206062.63999993</v>
      </c>
      <c r="D21" s="1234">
        <f t="shared" si="0"/>
        <v>101798448.21000001</v>
      </c>
      <c r="E21" s="801">
        <f t="shared" si="1"/>
        <v>53188938</v>
      </c>
      <c r="F21" s="1238">
        <f>'[1]Дотация  из  ОБ_факт'!M14</f>
        <v>30656877</v>
      </c>
      <c r="G21" s="1247">
        <v>15328470</v>
      </c>
      <c r="H21" s="1238">
        <f>'[1]Дотация  из  ОБ_факт'!G14</f>
        <v>41624014.210000001</v>
      </c>
      <c r="I21" s="1247">
        <v>21486986</v>
      </c>
      <c r="J21" s="1248">
        <f t="shared" si="2"/>
        <v>41624014.210000001</v>
      </c>
      <c r="K21" s="1249">
        <f t="shared" si="2"/>
        <v>21486986</v>
      </c>
      <c r="L21" s="1248">
        <f>'[1]Дотация  из  ОБ_факт'!K14</f>
        <v>0</v>
      </c>
      <c r="M21" s="785"/>
      <c r="N21" s="1238">
        <f>'[1]Дотация  из  ОБ_факт'!Q14</f>
        <v>0</v>
      </c>
      <c r="O21" s="1247"/>
      <c r="P21" s="1238">
        <f>'[1]Дотация  из  ОБ_факт'!S14</f>
        <v>28146982</v>
      </c>
      <c r="Q21" s="1247">
        <v>16073482</v>
      </c>
      <c r="R21" s="1248">
        <f t="shared" si="3"/>
        <v>28146982</v>
      </c>
      <c r="S21" s="1249">
        <f t="shared" si="3"/>
        <v>16073482</v>
      </c>
      <c r="T21" s="1248">
        <f>'[1]Дотация  из  ОБ_факт'!W14</f>
        <v>0</v>
      </c>
      <c r="U21" s="785"/>
      <c r="V21" s="790">
        <f t="shared" si="4"/>
        <v>300000</v>
      </c>
      <c r="W21" s="1250">
        <f>'[1]Дотация  из  ОБ_факт'!AA14</f>
        <v>300000</v>
      </c>
      <c r="X21" s="1251">
        <f>'[1]Дотация  из  ОБ_факт'!AC14</f>
        <v>0</v>
      </c>
      <c r="Y21" s="1251">
        <f>'[1]Дотация  из  ОБ_факт'!AG14</f>
        <v>0</v>
      </c>
      <c r="Z21" s="791">
        <f t="shared" si="5"/>
        <v>300000</v>
      </c>
      <c r="AA21" s="751">
        <f t="shared" si="180"/>
        <v>300000</v>
      </c>
      <c r="AB21" s="751">
        <f t="shared" si="180"/>
        <v>0</v>
      </c>
      <c r="AC21" s="786"/>
      <c r="AD21" s="790">
        <f t="shared" si="6"/>
        <v>1070575</v>
      </c>
      <c r="AE21" s="1250">
        <f>'[1]Дотация  из  ОБ_факт'!Y14</f>
        <v>1070575</v>
      </c>
      <c r="AF21" s="1251">
        <f>'[1]Дотация  из  ОБ_факт'!AE14</f>
        <v>0</v>
      </c>
      <c r="AG21" s="790">
        <f t="shared" si="7"/>
        <v>0</v>
      </c>
      <c r="AH21" s="787"/>
      <c r="AI21" s="786"/>
      <c r="AJ21" s="1248">
        <f t="shared" si="8"/>
        <v>1070575</v>
      </c>
      <c r="AK21" s="1249">
        <f t="shared" si="9"/>
        <v>0</v>
      </c>
      <c r="AL21" s="1248">
        <f>'[1]Дотация  из  ОБ_факт'!AE14</f>
        <v>0</v>
      </c>
      <c r="AM21" s="788"/>
      <c r="AN21" s="919">
        <f>'Проверочная  таблица'!VB21+'Проверочная  таблица'!VD21+BT21+BV21+CH21+CJ21+BH21+BL21+'Проверочная  таблица'!NB21+'Проверочная  таблица'!NR21+'Проверочная  таблица'!EB21+'Проверочная  таблица'!OJ21+DT21+'Проверочная  таблица'!JR21+'Проверочная  таблица'!JX21+'Проверочная  таблица'!OR21+'Проверочная  таблица'!OZ21+JL21+AP21+AV21+FB21+FH21+CV21+SX21+EH21+TL21+QH21+EN21+EV21+LV21+MD21+SR21+GV21+SD21+RF21+KP21+KZ21+RL21+SJ21+CP21+QZ21+HL21+GF21+HR21+HX21+FZ21+DJ21+PX21+CB21+IP21+JF21+HD21+GL21+IV21</f>
        <v>77752861.389999986</v>
      </c>
      <c r="AO21" s="920">
        <f>'Проверочная  таблица'!VC21+'Проверочная  таблица'!VE21+BU21+BW21+CI21+CK21+BJ21+BN21+'Проверочная  таблица'!NJ21+'Проверочная  таблица'!NU21+'Проверочная  таблица'!EE21+'Проверочная  таблица'!ON21+DX21+'Проверочная  таблица'!JU21+'Проверочная  таблица'!KA21+'Проверочная  таблица'!OV21+'Проверочная  таблица'!PD21+JO21+AS21+AX21+FE21+FK21+DC21+TE21+EK21+TS21+QK21+ER21+EY21+LZ21+MH21+SU21+GZ21+SG21+RI21+KU21+LE21+RO21+SN21+CS21+RC21+HO21+GI21+HU21+IA21+GC21+DM21+QC21+CE21+IS21+JI21+HF21+GO21+IY21</f>
        <v>10179644.780000001</v>
      </c>
      <c r="AP21" s="921">
        <f t="shared" si="10"/>
        <v>0</v>
      </c>
      <c r="AQ21" s="789">
        <f>[1]Субсидия_факт!HV16</f>
        <v>0</v>
      </c>
      <c r="AR21" s="770">
        <f>[1]Субсидия_факт!MR16</f>
        <v>0</v>
      </c>
      <c r="AS21" s="921">
        <f t="shared" si="11"/>
        <v>0</v>
      </c>
      <c r="AT21" s="770"/>
      <c r="AU21" s="789"/>
      <c r="AV21" s="910">
        <f t="shared" si="12"/>
        <v>0</v>
      </c>
      <c r="AW21" s="770">
        <f>[1]Субсидия_факт!MV16</f>
        <v>0</v>
      </c>
      <c r="AX21" s="1224">
        <f t="shared" si="13"/>
        <v>0</v>
      </c>
      <c r="AY21" s="770"/>
      <c r="AZ21" s="1225">
        <f t="shared" si="14"/>
        <v>0</v>
      </c>
      <c r="BA21" s="770">
        <f t="shared" si="15"/>
        <v>0</v>
      </c>
      <c r="BB21" s="783">
        <f t="shared" si="16"/>
        <v>0</v>
      </c>
      <c r="BC21" s="789">
        <f t="shared" si="17"/>
        <v>0</v>
      </c>
      <c r="BD21" s="782">
        <f t="shared" si="18"/>
        <v>0</v>
      </c>
      <c r="BE21" s="770">
        <f>[1]Субсидия_факт!MX16</f>
        <v>0</v>
      </c>
      <c r="BF21" s="802">
        <f t="shared" si="19"/>
        <v>0</v>
      </c>
      <c r="BG21" s="770"/>
      <c r="BH21" s="801">
        <f t="shared" si="20"/>
        <v>0</v>
      </c>
      <c r="BI21" s="770">
        <f>[1]Субсидия_факт!KZ16</f>
        <v>0</v>
      </c>
      <c r="BJ21" s="957">
        <f t="shared" si="21"/>
        <v>0</v>
      </c>
      <c r="BK21" s="770"/>
      <c r="BL21" s="801">
        <f t="shared" si="22"/>
        <v>0</v>
      </c>
      <c r="BM21" s="770">
        <f>[1]Субсидия_факт!LB16</f>
        <v>0</v>
      </c>
      <c r="BN21" s="957">
        <f t="shared" si="23"/>
        <v>0</v>
      </c>
      <c r="BO21" s="770"/>
      <c r="BP21" s="1235">
        <f t="shared" si="24"/>
        <v>0</v>
      </c>
      <c r="BQ21" s="783">
        <f t="shared" si="25"/>
        <v>0</v>
      </c>
      <c r="BR21" s="1252">
        <f t="shared" si="26"/>
        <v>0</v>
      </c>
      <c r="BS21" s="1235">
        <f t="shared" si="27"/>
        <v>0</v>
      </c>
      <c r="BT21" s="801">
        <f>[1]Субсидия_факт!GV16</f>
        <v>0</v>
      </c>
      <c r="BU21" s="790"/>
      <c r="BV21" s="1253">
        <f>[1]Субсидия_факт!GX16</f>
        <v>0</v>
      </c>
      <c r="BW21" s="791"/>
      <c r="BX21" s="1252">
        <f t="shared" si="28"/>
        <v>0</v>
      </c>
      <c r="BY21" s="1235">
        <f t="shared" si="28"/>
        <v>0</v>
      </c>
      <c r="BZ21" s="783">
        <f>[1]Субсидия_факт!GZ16</f>
        <v>0</v>
      </c>
      <c r="CA21" s="785"/>
      <c r="CB21" s="846">
        <f t="shared" si="29"/>
        <v>0</v>
      </c>
      <c r="CC21" s="766">
        <f>[1]Субсидия_факт!HL16</f>
        <v>0</v>
      </c>
      <c r="CD21" s="770">
        <f>[1]Субсидия_факт!HN16</f>
        <v>0</v>
      </c>
      <c r="CE21" s="921">
        <f t="shared" si="30"/>
        <v>0</v>
      </c>
      <c r="CF21" s="770"/>
      <c r="CG21" s="770"/>
      <c r="CH21" s="957">
        <f>[1]Субсидия_факт!HB16</f>
        <v>0</v>
      </c>
      <c r="CI21" s="792"/>
      <c r="CJ21" s="957">
        <f>[1]Субсидия_факт!HD16</f>
        <v>0</v>
      </c>
      <c r="CK21" s="791"/>
      <c r="CL21" s="1226">
        <f t="shared" si="31"/>
        <v>0</v>
      </c>
      <c r="CM21" s="782">
        <f t="shared" si="31"/>
        <v>0</v>
      </c>
      <c r="CN21" s="1225">
        <f>[1]Субсидия_факт!HF16</f>
        <v>0</v>
      </c>
      <c r="CO21" s="753"/>
      <c r="CP21" s="846">
        <f t="shared" si="32"/>
        <v>0</v>
      </c>
      <c r="CQ21" s="766">
        <f>[1]Субсидия_факт!HP16</f>
        <v>0</v>
      </c>
      <c r="CR21" s="770">
        <f>[1]Субсидия_факт!HR16</f>
        <v>0</v>
      </c>
      <c r="CS21" s="921">
        <f t="shared" si="33"/>
        <v>0</v>
      </c>
      <c r="CT21" s="770"/>
      <c r="CU21" s="770"/>
      <c r="CV21" s="910">
        <f t="shared" si="34"/>
        <v>0</v>
      </c>
      <c r="CW21" s="763">
        <f>[1]Субсидия_факт!LR16</f>
        <v>0</v>
      </c>
      <c r="CX21" s="762">
        <f>[1]Субсидия_факт!LT16</f>
        <v>0</v>
      </c>
      <c r="CY21" s="754">
        <f>[1]Субсидия_факт!LV16</f>
        <v>0</v>
      </c>
      <c r="CZ21" s="762">
        <f>[1]Субсидия_факт!MB16</f>
        <v>0</v>
      </c>
      <c r="DA21" s="754">
        <f>[1]Субсидия_факт!MH16</f>
        <v>0</v>
      </c>
      <c r="DB21" s="762">
        <f>[1]Субсидия_факт!MJ16</f>
        <v>0</v>
      </c>
      <c r="DC21" s="910">
        <f t="shared" si="35"/>
        <v>0</v>
      </c>
      <c r="DD21" s="755"/>
      <c r="DE21" s="762"/>
      <c r="DF21" s="754"/>
      <c r="DG21" s="762"/>
      <c r="DH21" s="754"/>
      <c r="DI21" s="762"/>
      <c r="DJ21" s="920">
        <f t="shared" si="205"/>
        <v>0</v>
      </c>
      <c r="DK21" s="763">
        <f>[1]Субсидия_факт!LX16</f>
        <v>0</v>
      </c>
      <c r="DL21" s="762">
        <f>[1]Субсидия_факт!MD16</f>
        <v>0</v>
      </c>
      <c r="DM21" s="910">
        <f t="shared" si="37"/>
        <v>0</v>
      </c>
      <c r="DN21" s="763"/>
      <c r="DO21" s="764"/>
      <c r="DP21" s="1226">
        <f t="shared" si="206"/>
        <v>0</v>
      </c>
      <c r="DQ21" s="782">
        <f t="shared" si="207"/>
        <v>0</v>
      </c>
      <c r="DR21" s="1225">
        <f t="shared" si="208"/>
        <v>0</v>
      </c>
      <c r="DS21" s="753">
        <f t="shared" si="209"/>
        <v>0</v>
      </c>
      <c r="DT21" s="957">
        <f t="shared" si="210"/>
        <v>0</v>
      </c>
      <c r="DU21" s="789">
        <f>[1]Субсидия_факт!R16</f>
        <v>0</v>
      </c>
      <c r="DV21" s="766">
        <f>[1]Субсидия_факт!T16</f>
        <v>0</v>
      </c>
      <c r="DW21" s="770">
        <f>[1]Субсидия_факт!V16</f>
        <v>0</v>
      </c>
      <c r="DX21" s="957">
        <f t="shared" si="211"/>
        <v>0</v>
      </c>
      <c r="DY21" s="806"/>
      <c r="DZ21" s="806"/>
      <c r="EA21" s="806"/>
      <c r="EB21" s="846">
        <f t="shared" si="38"/>
        <v>0</v>
      </c>
      <c r="EC21" s="766">
        <f>[1]Субсидия_факт!AX16</f>
        <v>0</v>
      </c>
      <c r="ED21" s="767">
        <f>[1]Субсидия_факт!AZ16</f>
        <v>0</v>
      </c>
      <c r="EE21" s="957">
        <f t="shared" si="39"/>
        <v>0</v>
      </c>
      <c r="EF21" s="789"/>
      <c r="EG21" s="793"/>
      <c r="EH21" s="801">
        <f t="shared" si="40"/>
        <v>0</v>
      </c>
      <c r="EI21" s="766">
        <f>[1]Субсидия_факт!X16</f>
        <v>0</v>
      </c>
      <c r="EJ21" s="767">
        <f>[1]Субсидия_факт!Z16</f>
        <v>0</v>
      </c>
      <c r="EK21" s="957">
        <f t="shared" si="41"/>
        <v>0</v>
      </c>
      <c r="EL21" s="766"/>
      <c r="EM21" s="767"/>
      <c r="EN21" s="920">
        <f t="shared" si="212"/>
        <v>0</v>
      </c>
      <c r="EO21" s="763">
        <f>[1]Субсидия_факт!AP16</f>
        <v>0</v>
      </c>
      <c r="EP21" s="763">
        <f>[1]Субсидия_факт!AL16</f>
        <v>0</v>
      </c>
      <c r="EQ21" s="764">
        <f>[1]Субсидия_факт!AN16</f>
        <v>0</v>
      </c>
      <c r="ER21" s="920">
        <f t="shared" si="42"/>
        <v>0</v>
      </c>
      <c r="ES21" s="763"/>
      <c r="ET21" s="763"/>
      <c r="EU21" s="764"/>
      <c r="EV21" s="920">
        <f t="shared" si="43"/>
        <v>0</v>
      </c>
      <c r="EW21" s="763">
        <f>[1]Субсидия_факт!HH16</f>
        <v>0</v>
      </c>
      <c r="EX21" s="762">
        <f>[1]Субсидия_факт!HJ16</f>
        <v>0</v>
      </c>
      <c r="EY21" s="910">
        <f t="shared" si="44"/>
        <v>0</v>
      </c>
      <c r="EZ21" s="763"/>
      <c r="FA21" s="762"/>
      <c r="FB21" s="920">
        <f t="shared" si="45"/>
        <v>0</v>
      </c>
      <c r="FC21" s="766">
        <f>[1]Субсидия_факт!PK16</f>
        <v>0</v>
      </c>
      <c r="FD21" s="767">
        <f>[1]Субсидия_факт!PQ16</f>
        <v>0</v>
      </c>
      <c r="FE21" s="910">
        <f t="shared" si="46"/>
        <v>0</v>
      </c>
      <c r="FF21" s="763"/>
      <c r="FG21" s="764"/>
      <c r="FH21" s="920">
        <f t="shared" si="47"/>
        <v>768475.59</v>
      </c>
      <c r="FI21" s="763">
        <f>[1]Субсидия_факт!PM16</f>
        <v>200582.08999999997</v>
      </c>
      <c r="FJ21" s="762">
        <f>[1]Субсидия_факт!PS16</f>
        <v>567893.5</v>
      </c>
      <c r="FK21" s="910">
        <f t="shared" si="48"/>
        <v>0</v>
      </c>
      <c r="FL21" s="763"/>
      <c r="FM21" s="764"/>
      <c r="FN21" s="1233">
        <f t="shared" si="49"/>
        <v>768475.59</v>
      </c>
      <c r="FO21" s="763">
        <f t="shared" si="50"/>
        <v>200582.08999999997</v>
      </c>
      <c r="FP21" s="762">
        <f t="shared" si="50"/>
        <v>567893.5</v>
      </c>
      <c r="FQ21" s="782">
        <f t="shared" si="51"/>
        <v>0</v>
      </c>
      <c r="FR21" s="763">
        <f t="shared" si="52"/>
        <v>0</v>
      </c>
      <c r="FS21" s="762">
        <f t="shared" si="52"/>
        <v>0</v>
      </c>
      <c r="FT21" s="1233">
        <f t="shared" si="53"/>
        <v>0</v>
      </c>
      <c r="FU21" s="763">
        <f>[1]Субсидия_факт!PO16</f>
        <v>0</v>
      </c>
      <c r="FV21" s="762">
        <f>[1]Субсидия_факт!PU16</f>
        <v>0</v>
      </c>
      <c r="FW21" s="782">
        <f t="shared" si="54"/>
        <v>0</v>
      </c>
      <c r="FX21" s="763"/>
      <c r="FY21" s="764"/>
      <c r="FZ21" s="920">
        <f t="shared" si="55"/>
        <v>0</v>
      </c>
      <c r="GA21" s="766">
        <f>[1]Субсидия_факт!EP16</f>
        <v>0</v>
      </c>
      <c r="GB21" s="767">
        <f>[1]Субсидия_факт!ER16</f>
        <v>0</v>
      </c>
      <c r="GC21" s="1234">
        <f t="shared" si="56"/>
        <v>0</v>
      </c>
      <c r="GD21" s="766"/>
      <c r="GE21" s="767"/>
      <c r="GF21" s="846">
        <f t="shared" si="57"/>
        <v>0</v>
      </c>
      <c r="GG21" s="766">
        <f>[1]Субсидия_факт!JN16</f>
        <v>0</v>
      </c>
      <c r="GH21" s="767">
        <f>[1]Субсидия_факт!JP16</f>
        <v>0</v>
      </c>
      <c r="GI21" s="801">
        <f t="shared" si="58"/>
        <v>0</v>
      </c>
      <c r="GJ21" s="766"/>
      <c r="GK21" s="767"/>
      <c r="GL21" s="936">
        <f t="shared" si="59"/>
        <v>0</v>
      </c>
      <c r="GM21" s="763">
        <f>[1]Субсидия_факт!JR16</f>
        <v>0</v>
      </c>
      <c r="GN21" s="764">
        <f>[1]Субсидия_факт!JV16</f>
        <v>0</v>
      </c>
      <c r="GO21" s="1235">
        <f t="shared" si="60"/>
        <v>0</v>
      </c>
      <c r="GP21" s="766"/>
      <c r="GQ21" s="793"/>
      <c r="GR21" s="1235">
        <f t="shared" si="213"/>
        <v>0</v>
      </c>
      <c r="GS21" s="783">
        <f t="shared" si="214"/>
        <v>0</v>
      </c>
      <c r="GT21" s="1252">
        <f t="shared" si="215"/>
        <v>0</v>
      </c>
      <c r="GU21" s="783">
        <f t="shared" si="216"/>
        <v>0</v>
      </c>
      <c r="GV21" s="1234">
        <f t="shared" si="61"/>
        <v>0</v>
      </c>
      <c r="GW21" s="766">
        <f>[1]Субсидия_факт!KL16</f>
        <v>0</v>
      </c>
      <c r="GX21" s="767">
        <f>[1]Субсидия_факт!KN16</f>
        <v>0</v>
      </c>
      <c r="GY21" s="766">
        <f>[1]Субсидия_факт!KP16</f>
        <v>0</v>
      </c>
      <c r="GZ21" s="801">
        <f t="shared" si="62"/>
        <v>0</v>
      </c>
      <c r="HA21" s="766"/>
      <c r="HB21" s="767"/>
      <c r="HC21" s="770"/>
      <c r="HD21" s="1235">
        <f t="shared" si="217"/>
        <v>0</v>
      </c>
      <c r="HE21" s="766">
        <f>[1]Субсидия_факт!KR16</f>
        <v>0</v>
      </c>
      <c r="HF21" s="1235">
        <f t="shared" si="217"/>
        <v>0</v>
      </c>
      <c r="HG21" s="770"/>
      <c r="HH21" s="1235">
        <f t="shared" si="218"/>
        <v>0</v>
      </c>
      <c r="HI21" s="1235">
        <f t="shared" si="219"/>
        <v>0</v>
      </c>
      <c r="HJ21" s="1235">
        <f t="shared" si="220"/>
        <v>0</v>
      </c>
      <c r="HK21" s="1235">
        <f t="shared" si="221"/>
        <v>0</v>
      </c>
      <c r="HL21" s="846">
        <f t="shared" si="63"/>
        <v>0</v>
      </c>
      <c r="HM21" s="766">
        <f>[1]Субсидия_факт!KV16</f>
        <v>0</v>
      </c>
      <c r="HN21" s="767">
        <f>[1]Субсидия_факт!KX16</f>
        <v>0</v>
      </c>
      <c r="HO21" s="957">
        <f t="shared" si="64"/>
        <v>0</v>
      </c>
      <c r="HP21" s="766"/>
      <c r="HQ21" s="767"/>
      <c r="HR21" s="846">
        <f t="shared" si="65"/>
        <v>0</v>
      </c>
      <c r="HS21" s="766"/>
      <c r="HT21" s="767"/>
      <c r="HU21" s="957">
        <f t="shared" si="66"/>
        <v>0</v>
      </c>
      <c r="HV21" s="766"/>
      <c r="HW21" s="767"/>
      <c r="HX21" s="846">
        <f t="shared" si="67"/>
        <v>0</v>
      </c>
      <c r="HY21" s="766">
        <f>[1]Субсидия_факт!FV16</f>
        <v>0</v>
      </c>
      <c r="HZ21" s="767">
        <f>[1]Субсидия_факт!FZ16</f>
        <v>0</v>
      </c>
      <c r="IA21" s="957">
        <f t="shared" si="68"/>
        <v>0</v>
      </c>
      <c r="IB21" s="766"/>
      <c r="IC21" s="767"/>
      <c r="ID21" s="1233">
        <f t="shared" si="69"/>
        <v>0</v>
      </c>
      <c r="IE21" s="763">
        <f t="shared" si="70"/>
        <v>0</v>
      </c>
      <c r="IF21" s="762">
        <f t="shared" si="70"/>
        <v>0</v>
      </c>
      <c r="IG21" s="782">
        <f t="shared" si="71"/>
        <v>0</v>
      </c>
      <c r="IH21" s="763">
        <f t="shared" si="72"/>
        <v>0</v>
      </c>
      <c r="II21" s="762">
        <f t="shared" si="72"/>
        <v>0</v>
      </c>
      <c r="IJ21" s="1233">
        <f t="shared" si="73"/>
        <v>0</v>
      </c>
      <c r="IK21" s="763">
        <f>[1]Субсидия_факт!FX16</f>
        <v>0</v>
      </c>
      <c r="IL21" s="762">
        <f>[1]Субсидия_факт!GB16</f>
        <v>0</v>
      </c>
      <c r="IM21" s="782">
        <f t="shared" si="74"/>
        <v>0</v>
      </c>
      <c r="IN21" s="763">
        <f t="shared" si="188"/>
        <v>0</v>
      </c>
      <c r="IO21" s="764">
        <f t="shared" si="189"/>
        <v>0</v>
      </c>
      <c r="IP21" s="846">
        <f t="shared" si="75"/>
        <v>0</v>
      </c>
      <c r="IQ21" s="763">
        <f>[1]Субсидия_факт!ED16</f>
        <v>0</v>
      </c>
      <c r="IR21" s="764">
        <f>[1]Субсидия_факт!EF16</f>
        <v>0</v>
      </c>
      <c r="IS21" s="957">
        <f t="shared" si="76"/>
        <v>0</v>
      </c>
      <c r="IT21" s="766"/>
      <c r="IU21" s="767"/>
      <c r="IV21" s="1146">
        <f t="shared" si="77"/>
        <v>0</v>
      </c>
      <c r="IW21" s="763">
        <f>[1]Субсидия_факт!EH16</f>
        <v>0</v>
      </c>
      <c r="IX21" s="764">
        <f>[1]Субсидия_факт!EL16</f>
        <v>0</v>
      </c>
      <c r="IY21" s="1254">
        <f t="shared" si="78"/>
        <v>0</v>
      </c>
      <c r="IZ21" s="766"/>
      <c r="JA21" s="793"/>
      <c r="JB21" s="1235">
        <f t="shared" si="222"/>
        <v>0</v>
      </c>
      <c r="JC21" s="1235">
        <f t="shared" si="223"/>
        <v>0</v>
      </c>
      <c r="JD21" s="1235">
        <f t="shared" si="224"/>
        <v>0</v>
      </c>
      <c r="JE21" s="783">
        <f t="shared" si="225"/>
        <v>0</v>
      </c>
      <c r="JF21" s="1258">
        <f t="shared" si="79"/>
        <v>0</v>
      </c>
      <c r="JG21" s="763">
        <f>[1]Субсидия_факт!BX16</f>
        <v>0</v>
      </c>
      <c r="JH21" s="764">
        <f>[1]Субсидия_факт!BZ16</f>
        <v>0</v>
      </c>
      <c r="JI21" s="957">
        <f t="shared" si="80"/>
        <v>0</v>
      </c>
      <c r="JJ21" s="766"/>
      <c r="JK21" s="767"/>
      <c r="JL21" s="846">
        <f t="shared" si="81"/>
        <v>0</v>
      </c>
      <c r="JM21" s="766">
        <f>[1]Субсидия_факт!ET16</f>
        <v>0</v>
      </c>
      <c r="JN21" s="767">
        <f>[1]Субсидия_факт!EV16</f>
        <v>0</v>
      </c>
      <c r="JO21" s="957">
        <f t="shared" si="82"/>
        <v>0</v>
      </c>
      <c r="JP21" s="766"/>
      <c r="JQ21" s="767"/>
      <c r="JR21" s="910">
        <f t="shared" si="83"/>
        <v>0</v>
      </c>
      <c r="JS21" s="763">
        <f>[1]Субсидия_факт!EX16</f>
        <v>0</v>
      </c>
      <c r="JT21" s="762">
        <f>[1]Субсидия_факт!FD16</f>
        <v>0</v>
      </c>
      <c r="JU21" s="910">
        <f t="shared" si="84"/>
        <v>0</v>
      </c>
      <c r="JV21" s="763"/>
      <c r="JW21" s="764"/>
      <c r="JX21" s="910">
        <f t="shared" si="85"/>
        <v>0</v>
      </c>
      <c r="JY21" s="763">
        <f>[1]Субсидия_факт!EZ16</f>
        <v>0</v>
      </c>
      <c r="JZ21" s="764">
        <f>[1]Субсидия_факт!FF16</f>
        <v>0</v>
      </c>
      <c r="KA21" s="910">
        <f t="shared" si="86"/>
        <v>0</v>
      </c>
      <c r="KB21" s="754"/>
      <c r="KC21" s="768"/>
      <c r="KD21" s="910">
        <f t="shared" si="87"/>
        <v>-157855.43</v>
      </c>
      <c r="KE21" s="755">
        <f>'Проверочная  таблица'!JY21-'Проверочная  таблица'!KK21</f>
        <v>-41042.409999999989</v>
      </c>
      <c r="KF21" s="764">
        <f>'Проверочная  таблица'!JZ21-'Проверочная  таблица'!KL21</f>
        <v>-116813.02</v>
      </c>
      <c r="KG21" s="1225">
        <f t="shared" si="88"/>
        <v>0</v>
      </c>
      <c r="KH21" s="754">
        <f>'Проверочная  таблица'!KB21-'Проверочная  таблица'!KN21</f>
        <v>0</v>
      </c>
      <c r="KI21" s="771">
        <f>'Проверочная  таблица'!KC21-'Проверочная  таблица'!KO21</f>
        <v>0</v>
      </c>
      <c r="KJ21" s="910">
        <f t="shared" si="89"/>
        <v>157855.43</v>
      </c>
      <c r="KK21" s="763">
        <f>[1]Субсидия_факт!FB16</f>
        <v>41042.409999999989</v>
      </c>
      <c r="KL21" s="762">
        <f>[1]Субсидия_факт!FH16</f>
        <v>116813.02</v>
      </c>
      <c r="KM21" s="782">
        <f t="shared" si="90"/>
        <v>0</v>
      </c>
      <c r="KN21" s="763"/>
      <c r="KO21" s="764"/>
      <c r="KP21" s="1217">
        <f t="shared" si="226"/>
        <v>1490803.32</v>
      </c>
      <c r="KQ21" s="754">
        <f>[1]Субсидия_факт!OD16</f>
        <v>941710</v>
      </c>
      <c r="KR21" s="764">
        <f>[1]Субсидия_факт!OJ16</f>
        <v>414283.32</v>
      </c>
      <c r="KS21" s="754">
        <f>[1]Субсидия_факт!OR16</f>
        <v>49009.86</v>
      </c>
      <c r="KT21" s="764">
        <f>[1]Субсидия_факт!OT16</f>
        <v>85800.14</v>
      </c>
      <c r="KU21" s="1217">
        <f t="shared" si="91"/>
        <v>0</v>
      </c>
      <c r="KV21" s="754"/>
      <c r="KW21" s="764"/>
      <c r="KX21" s="754"/>
      <c r="KY21" s="764"/>
      <c r="KZ21" s="1217">
        <f t="shared" si="227"/>
        <v>49120</v>
      </c>
      <c r="LA21" s="789">
        <f>[1]Субсидия_факт!OF16</f>
        <v>49120</v>
      </c>
      <c r="LB21" s="767">
        <f>[1]Субсидия_факт!OL16</f>
        <v>0</v>
      </c>
      <c r="LC21" s="789"/>
      <c r="LD21" s="767"/>
      <c r="LE21" s="1217">
        <f t="shared" si="92"/>
        <v>0</v>
      </c>
      <c r="LF21" s="754"/>
      <c r="LG21" s="764"/>
      <c r="LH21" s="754"/>
      <c r="LI21" s="764"/>
      <c r="LJ21" s="1219">
        <f t="shared" si="93"/>
        <v>-36570</v>
      </c>
      <c r="LK21" s="789">
        <f t="shared" si="94"/>
        <v>-36570</v>
      </c>
      <c r="LL21" s="767">
        <f t="shared" si="94"/>
        <v>0</v>
      </c>
      <c r="LM21" s="1219">
        <f t="shared" si="95"/>
        <v>0</v>
      </c>
      <c r="LN21" s="789">
        <f t="shared" si="96"/>
        <v>0</v>
      </c>
      <c r="LO21" s="767">
        <f t="shared" si="96"/>
        <v>0</v>
      </c>
      <c r="LP21" s="1219">
        <f t="shared" si="97"/>
        <v>85690</v>
      </c>
      <c r="LQ21" s="763">
        <f>[1]Субсидия_факт!OH16</f>
        <v>85690</v>
      </c>
      <c r="LR21" s="762">
        <f>[1]Субсидия_факт!ON16</f>
        <v>0</v>
      </c>
      <c r="LS21" s="1219">
        <f t="shared" si="98"/>
        <v>0</v>
      </c>
      <c r="LT21" s="755"/>
      <c r="LU21" s="764"/>
      <c r="LV21" s="957">
        <f t="shared" si="228"/>
        <v>0</v>
      </c>
      <c r="LW21" s="769">
        <f>[1]Субсидия_факт!DP16</f>
        <v>0</v>
      </c>
      <c r="LX21" s="754">
        <f>[1]Субсидия_факт!CB16</f>
        <v>0</v>
      </c>
      <c r="LY21" s="764">
        <f>[1]Субсидия_факт!CH16</f>
        <v>0</v>
      </c>
      <c r="LZ21" s="957">
        <f t="shared" si="99"/>
        <v>0</v>
      </c>
      <c r="MA21" s="769"/>
      <c r="MB21" s="754"/>
      <c r="MC21" s="764"/>
      <c r="MD21" s="957">
        <f t="shared" si="229"/>
        <v>0</v>
      </c>
      <c r="ME21" s="769">
        <f>[1]Субсидия_факт!DR16</f>
        <v>0</v>
      </c>
      <c r="MF21" s="754">
        <f>[1]Субсидия_факт!CD16</f>
        <v>0</v>
      </c>
      <c r="MG21" s="764">
        <f>[1]Субсидия_факт!CJ16</f>
        <v>0</v>
      </c>
      <c r="MH21" s="957">
        <f t="shared" si="100"/>
        <v>0</v>
      </c>
      <c r="MI21" s="769"/>
      <c r="MJ21" s="754"/>
      <c r="MK21" s="762"/>
      <c r="ML21" s="783">
        <f t="shared" si="101"/>
        <v>0</v>
      </c>
      <c r="MM21" s="766">
        <f>'Проверочная  таблица'!ME21-MU21</f>
        <v>0</v>
      </c>
      <c r="MN21" s="766">
        <f>'Проверочная  таблица'!MF21-MV21</f>
        <v>0</v>
      </c>
      <c r="MO21" s="767">
        <f>'Проверочная  таблица'!MG21-MW21</f>
        <v>0</v>
      </c>
      <c r="MP21" s="783">
        <f t="shared" si="102"/>
        <v>0</v>
      </c>
      <c r="MQ21" s="766">
        <f>'Проверочная  таблица'!MI21-MY21</f>
        <v>0</v>
      </c>
      <c r="MR21" s="766">
        <f>'Проверочная  таблица'!MJ21-MZ21</f>
        <v>0</v>
      </c>
      <c r="MS21" s="767">
        <f>'Проверочная  таблица'!MK21-NA21</f>
        <v>0</v>
      </c>
      <c r="MT21" s="783">
        <f t="shared" si="103"/>
        <v>0</v>
      </c>
      <c r="MU21" s="754">
        <f>[1]Субсидия_факт!DT16</f>
        <v>0</v>
      </c>
      <c r="MV21" s="754">
        <f>[1]Субсидия_факт!CF16</f>
        <v>0</v>
      </c>
      <c r="MW21" s="764">
        <f>[1]Субсидия_факт!CL16</f>
        <v>0</v>
      </c>
      <c r="MX21" s="783">
        <f t="shared" si="104"/>
        <v>0</v>
      </c>
      <c r="MY21" s="754"/>
      <c r="MZ21" s="754"/>
      <c r="NA21" s="764"/>
      <c r="NB21" s="1224">
        <f t="shared" si="230"/>
        <v>157855.43</v>
      </c>
      <c r="NC21" s="754">
        <f>[1]Субсидия_факт!CN16</f>
        <v>0</v>
      </c>
      <c r="ND21" s="762">
        <f>[1]Субсидия_факт!CP16</f>
        <v>0</v>
      </c>
      <c r="NE21" s="766">
        <f>[1]Субсидия_факт!CR16</f>
        <v>0</v>
      </c>
      <c r="NF21" s="767">
        <f>[1]Субсидия_факт!CT16</f>
        <v>0</v>
      </c>
      <c r="NG21" s="755">
        <f>[1]Субсидия_факт!DV16</f>
        <v>0</v>
      </c>
      <c r="NH21" s="763">
        <f>[1]Субсидия_факт!FJ16</f>
        <v>41042.409999999989</v>
      </c>
      <c r="NI21" s="762">
        <f>[1]Субсидия_факт!FP16</f>
        <v>116813.02</v>
      </c>
      <c r="NJ21" s="910">
        <f t="shared" si="105"/>
        <v>0</v>
      </c>
      <c r="NK21" s="754"/>
      <c r="NL21" s="764"/>
      <c r="NM21" s="770"/>
      <c r="NN21" s="794"/>
      <c r="NO21" s="754"/>
      <c r="NP21" s="754"/>
      <c r="NQ21" s="764">
        <v>0</v>
      </c>
      <c r="NR21" s="910">
        <f t="shared" si="231"/>
        <v>0</v>
      </c>
      <c r="NS21" s="763">
        <f>[1]Субсидия_факт!FL16</f>
        <v>0</v>
      </c>
      <c r="NT21" s="762">
        <f>[1]Субсидия_факт!FR16</f>
        <v>0</v>
      </c>
      <c r="NU21" s="910">
        <f t="shared" si="106"/>
        <v>0</v>
      </c>
      <c r="NV21" s="755"/>
      <c r="NW21" s="764"/>
      <c r="NX21" s="782">
        <f t="shared" si="107"/>
        <v>0</v>
      </c>
      <c r="NY21" s="763">
        <f>'Проверочная  таблица'!NS21-OE21</f>
        <v>0</v>
      </c>
      <c r="NZ21" s="764">
        <f>'Проверочная  таблица'!NT21-OF21</f>
        <v>0</v>
      </c>
      <c r="OA21" s="782">
        <f t="shared" si="108"/>
        <v>0</v>
      </c>
      <c r="OB21" s="754">
        <f>'Проверочная  таблица'!NV21-OH21</f>
        <v>0</v>
      </c>
      <c r="OC21" s="771">
        <f>'Проверочная  таблица'!NW21-OI21</f>
        <v>0</v>
      </c>
      <c r="OD21" s="782">
        <f t="shared" si="232"/>
        <v>0</v>
      </c>
      <c r="OE21" s="763">
        <f>[1]Субсидия_факт!FN16</f>
        <v>0</v>
      </c>
      <c r="OF21" s="762">
        <f>[1]Субсидия_факт!FT16</f>
        <v>0</v>
      </c>
      <c r="OG21" s="782">
        <f t="shared" si="109"/>
        <v>0</v>
      </c>
      <c r="OH21" s="754"/>
      <c r="OI21" s="764"/>
      <c r="OJ21" s="919">
        <f t="shared" si="233"/>
        <v>0</v>
      </c>
      <c r="OK21" s="763">
        <f>[1]Субсидия_факт!AR16</f>
        <v>0</v>
      </c>
      <c r="OL21" s="762">
        <f>[1]Субсидия_факт!AT16</f>
        <v>0</v>
      </c>
      <c r="OM21" s="763">
        <f>[1]Субсидия_факт!AV16</f>
        <v>0</v>
      </c>
      <c r="ON21" s="957">
        <f t="shared" si="110"/>
        <v>0</v>
      </c>
      <c r="OO21" s="770"/>
      <c r="OP21" s="767"/>
      <c r="OQ21" s="770"/>
      <c r="OR21" s="1238">
        <f t="shared" si="111"/>
        <v>18504809.469999999</v>
      </c>
      <c r="OS21" s="763">
        <f>[1]Субсидия_факт!GD16</f>
        <v>0</v>
      </c>
      <c r="OT21" s="762">
        <f>[1]Субсидия_факт!GJ16</f>
        <v>18504809.469999999</v>
      </c>
      <c r="OU21" s="770">
        <f>[1]Субсидия_факт!GP16</f>
        <v>0</v>
      </c>
      <c r="OV21" s="1238">
        <f t="shared" si="112"/>
        <v>0</v>
      </c>
      <c r="OW21" s="755"/>
      <c r="OX21" s="764"/>
      <c r="OY21" s="754"/>
      <c r="OZ21" s="1217">
        <f t="shared" si="234"/>
        <v>18504809.469999999</v>
      </c>
      <c r="PA21" s="763">
        <f>[1]Субсидия_факт!GF16</f>
        <v>0</v>
      </c>
      <c r="PB21" s="762">
        <f>[1]Субсидия_факт!GL16</f>
        <v>0</v>
      </c>
      <c r="PC21" s="754">
        <f>[1]Субсидия_факт!GR16</f>
        <v>18504809.469999999</v>
      </c>
      <c r="PD21" s="1217">
        <f t="shared" si="113"/>
        <v>8108800.2400000002</v>
      </c>
      <c r="PE21" s="754"/>
      <c r="PF21" s="771"/>
      <c r="PG21" s="754">
        <f>3535329.89+2000000+1015047+1558423.35</f>
        <v>8108800.2400000002</v>
      </c>
      <c r="PH21" s="1219">
        <f t="shared" si="114"/>
        <v>18504809.469999999</v>
      </c>
      <c r="PI21" s="789">
        <f>'Проверочная  таблица'!PA21-PQ21</f>
        <v>0</v>
      </c>
      <c r="PJ21" s="767">
        <f>'Проверочная  таблица'!PB21-PR21</f>
        <v>0</v>
      </c>
      <c r="PK21" s="770">
        <f>'Проверочная  таблица'!PC21-PS21</f>
        <v>18504809.469999999</v>
      </c>
      <c r="PL21" s="1219">
        <f t="shared" si="235"/>
        <v>8108800.2400000002</v>
      </c>
      <c r="PM21" s="755">
        <f>'Проверочная  таблица'!PE21-PU21</f>
        <v>0</v>
      </c>
      <c r="PN21" s="764">
        <f>'Проверочная  таблица'!PF21-PV21</f>
        <v>0</v>
      </c>
      <c r="PO21" s="754">
        <f>'Проверочная  таблица'!PG21-PW21</f>
        <v>8108800.2400000002</v>
      </c>
      <c r="PP21" s="1219">
        <f t="shared" si="115"/>
        <v>0</v>
      </c>
      <c r="PQ21" s="763">
        <f>[1]Субсидия_факт!GH16</f>
        <v>0</v>
      </c>
      <c r="PR21" s="762">
        <f>[1]Субсидия_факт!GN16</f>
        <v>0</v>
      </c>
      <c r="PS21" s="763">
        <f>[1]Субсидия_факт!GT16</f>
        <v>0</v>
      </c>
      <c r="PT21" s="1219">
        <f t="shared" si="116"/>
        <v>0</v>
      </c>
      <c r="PU21" s="755">
        <f t="shared" si="193"/>
        <v>0</v>
      </c>
      <c r="PV21" s="764">
        <f t="shared" si="194"/>
        <v>0</v>
      </c>
      <c r="PW21" s="763"/>
      <c r="PX21" s="910">
        <f t="shared" si="195"/>
        <v>0</v>
      </c>
      <c r="PY21" s="766">
        <f>[1]Субсидия_факт!JB16</f>
        <v>0</v>
      </c>
      <c r="PZ21" s="767">
        <f>[1]Субсидия_факт!JH16</f>
        <v>0</v>
      </c>
      <c r="QA21" s="766"/>
      <c r="QB21" s="767"/>
      <c r="QC21" s="910">
        <f t="shared" si="196"/>
        <v>0</v>
      </c>
      <c r="QD21" s="770"/>
      <c r="QE21" s="794"/>
      <c r="QF21" s="770"/>
      <c r="QG21" s="794"/>
      <c r="QH21" s="957">
        <f t="shared" si="117"/>
        <v>0</v>
      </c>
      <c r="QI21" s="766">
        <f>[1]Субсидия_факт!JD16</f>
        <v>0</v>
      </c>
      <c r="QJ21" s="767">
        <f>[1]Субсидия_факт!JJ16</f>
        <v>0</v>
      </c>
      <c r="QK21" s="1253">
        <f t="shared" si="118"/>
        <v>0</v>
      </c>
      <c r="QL21" s="770"/>
      <c r="QM21" s="794"/>
      <c r="QN21" s="783">
        <f t="shared" si="236"/>
        <v>0</v>
      </c>
      <c r="QO21" s="770">
        <f t="shared" si="119"/>
        <v>0</v>
      </c>
      <c r="QP21" s="767">
        <f t="shared" si="119"/>
        <v>0</v>
      </c>
      <c r="QQ21" s="1235">
        <f t="shared" si="120"/>
        <v>0</v>
      </c>
      <c r="QR21" s="766">
        <f t="shared" si="121"/>
        <v>0</v>
      </c>
      <c r="QS21" s="767">
        <f t="shared" si="121"/>
        <v>0</v>
      </c>
      <c r="QT21" s="1235">
        <f t="shared" si="122"/>
        <v>0</v>
      </c>
      <c r="QU21" s="766">
        <f>[1]Субсидия_факт!JF16</f>
        <v>0</v>
      </c>
      <c r="QV21" s="767">
        <f>[1]Субсидия_факт!JL16</f>
        <v>0</v>
      </c>
      <c r="QW21" s="783">
        <f t="shared" si="237"/>
        <v>0</v>
      </c>
      <c r="QX21" s="770"/>
      <c r="QY21" s="794"/>
      <c r="QZ21" s="846">
        <f t="shared" si="123"/>
        <v>0</v>
      </c>
      <c r="RA21" s="766">
        <f>[1]Субсидия_факт!CV16</f>
        <v>0</v>
      </c>
      <c r="RB21" s="767">
        <f>[1]Субсидия_факт!CX16</f>
        <v>0</v>
      </c>
      <c r="RC21" s="957">
        <f t="shared" si="124"/>
        <v>0</v>
      </c>
      <c r="RD21" s="766"/>
      <c r="RE21" s="767"/>
      <c r="RF21" s="801">
        <f t="shared" si="125"/>
        <v>0</v>
      </c>
      <c r="RG21" s="766">
        <f>[1]Субсидия_факт!CZ16</f>
        <v>0</v>
      </c>
      <c r="RH21" s="767">
        <f>[1]Субсидия_факт!DF16</f>
        <v>0</v>
      </c>
      <c r="RI21" s="957">
        <f t="shared" si="126"/>
        <v>0</v>
      </c>
      <c r="RJ21" s="766"/>
      <c r="RK21" s="767"/>
      <c r="RL21" s="846">
        <f t="shared" si="127"/>
        <v>0</v>
      </c>
      <c r="RM21" s="766">
        <f>[1]Субсидия_факт!DB16</f>
        <v>0</v>
      </c>
      <c r="RN21" s="767">
        <f>[1]Субсидия_факт!DH16</f>
        <v>0</v>
      </c>
      <c r="RO21" s="957">
        <f t="shared" si="128"/>
        <v>0</v>
      </c>
      <c r="RP21" s="766"/>
      <c r="RQ21" s="767"/>
      <c r="RR21" s="1235">
        <f t="shared" si="129"/>
        <v>0</v>
      </c>
      <c r="RS21" s="766">
        <f t="shared" si="130"/>
        <v>0</v>
      </c>
      <c r="RT21" s="767">
        <f t="shared" si="130"/>
        <v>0</v>
      </c>
      <c r="RU21" s="783">
        <f t="shared" si="131"/>
        <v>0</v>
      </c>
      <c r="RV21" s="766">
        <f t="shared" si="132"/>
        <v>0</v>
      </c>
      <c r="RW21" s="767">
        <f t="shared" si="132"/>
        <v>0</v>
      </c>
      <c r="RX21" s="846">
        <f t="shared" si="133"/>
        <v>0</v>
      </c>
      <c r="RY21" s="766">
        <f>[1]Субсидия_факт!DD16</f>
        <v>0</v>
      </c>
      <c r="RZ21" s="767">
        <f>[1]Субсидия_факт!DJ16</f>
        <v>0</v>
      </c>
      <c r="SA21" s="783">
        <f t="shared" si="134"/>
        <v>0</v>
      </c>
      <c r="SB21" s="766"/>
      <c r="SC21" s="767"/>
      <c r="SD21" s="801">
        <f t="shared" si="135"/>
        <v>0</v>
      </c>
      <c r="SE21" s="766">
        <f>[1]Субсидия_факт!DL16</f>
        <v>0</v>
      </c>
      <c r="SF21" s="767">
        <f>[1]Субсидия_факт!DN16</f>
        <v>0</v>
      </c>
      <c r="SG21" s="1253">
        <f t="shared" si="136"/>
        <v>0</v>
      </c>
      <c r="SH21" s="789"/>
      <c r="SI21" s="793"/>
      <c r="SJ21" s="957">
        <f t="shared" si="238"/>
        <v>0</v>
      </c>
      <c r="SK21" s="763">
        <f>[1]Субсидия_факт!BJ16</f>
        <v>0</v>
      </c>
      <c r="SL21" s="766">
        <f>[1]Субсидия_факт!BF16</f>
        <v>0</v>
      </c>
      <c r="SM21" s="793">
        <f>[1]Субсидия_факт!BH16</f>
        <v>0</v>
      </c>
      <c r="SN21" s="957">
        <f t="shared" si="137"/>
        <v>0</v>
      </c>
      <c r="SO21" s="795"/>
      <c r="SP21" s="789"/>
      <c r="SQ21" s="793"/>
      <c r="SR21" s="801">
        <f t="shared" si="138"/>
        <v>0</v>
      </c>
      <c r="SS21" s="766">
        <f>[1]Субсидия_факт!AD16</f>
        <v>0</v>
      </c>
      <c r="ST21" s="767">
        <f>[1]Субсидия_факт!AF16</f>
        <v>0</v>
      </c>
      <c r="SU21" s="957">
        <f t="shared" si="139"/>
        <v>0</v>
      </c>
      <c r="SV21" s="789"/>
      <c r="SW21" s="793"/>
      <c r="SX21" s="801">
        <f t="shared" si="239"/>
        <v>0</v>
      </c>
      <c r="SY21" s="766">
        <f>[1]Субсидия_факт!ID16</f>
        <v>0</v>
      </c>
      <c r="SZ21" s="767">
        <f>[1]Субсидия_факт!IJ16</f>
        <v>0</v>
      </c>
      <c r="TA21" s="789">
        <f>[1]Субсидия_факт!IP16</f>
        <v>0</v>
      </c>
      <c r="TB21" s="767">
        <f>[1]Субсидия_факт!IV16</f>
        <v>0</v>
      </c>
      <c r="TC21" s="1028">
        <f>[1]Субсидия_факт!JZ16</f>
        <v>0</v>
      </c>
      <c r="TD21" s="793">
        <f>[1]Субсидия_факт!KF16</f>
        <v>0</v>
      </c>
      <c r="TE21" s="957">
        <f t="shared" si="140"/>
        <v>0</v>
      </c>
      <c r="TF21" s="1162"/>
      <c r="TG21" s="794"/>
      <c r="TH21" s="1162"/>
      <c r="TI21" s="794"/>
      <c r="TJ21" s="1028"/>
      <c r="TK21" s="793"/>
      <c r="TL21" s="801">
        <f t="shared" si="141"/>
        <v>0</v>
      </c>
      <c r="TM21" s="766">
        <f>[1]Субсидия_факт!IF16</f>
        <v>0</v>
      </c>
      <c r="TN21" s="767">
        <f>[1]Субсидия_факт!IL16</f>
        <v>0</v>
      </c>
      <c r="TO21" s="789">
        <f>[1]Субсидия_факт!IR16</f>
        <v>0</v>
      </c>
      <c r="TP21" s="767">
        <f>[1]Субсидия_факт!IX16</f>
        <v>0</v>
      </c>
      <c r="TQ21" s="789">
        <f>[1]Субсидия_факт!KB16</f>
        <v>0</v>
      </c>
      <c r="TR21" s="767">
        <f>[1]Субсидия_факт!KH16</f>
        <v>0</v>
      </c>
      <c r="TS21" s="957">
        <f t="shared" si="142"/>
        <v>0</v>
      </c>
      <c r="TT21" s="770"/>
      <c r="TU21" s="794"/>
      <c r="TV21" s="1028"/>
      <c r="TW21" s="794"/>
      <c r="TX21" s="770"/>
      <c r="TY21" s="794"/>
      <c r="TZ21" s="783">
        <f t="shared" si="143"/>
        <v>0</v>
      </c>
      <c r="UA21" s="766">
        <f t="shared" si="144"/>
        <v>0</v>
      </c>
      <c r="UB21" s="767">
        <f t="shared" si="144"/>
        <v>0</v>
      </c>
      <c r="UC21" s="766">
        <f t="shared" si="144"/>
        <v>0</v>
      </c>
      <c r="UD21" s="767">
        <f t="shared" si="144"/>
        <v>0</v>
      </c>
      <c r="UE21" s="789">
        <f t="shared" si="144"/>
        <v>0</v>
      </c>
      <c r="UF21" s="767">
        <f t="shared" si="144"/>
        <v>0</v>
      </c>
      <c r="UG21" s="783">
        <f t="shared" si="145"/>
        <v>0</v>
      </c>
      <c r="UH21" s="766">
        <f t="shared" si="146"/>
        <v>0</v>
      </c>
      <c r="UI21" s="767">
        <f t="shared" si="146"/>
        <v>0</v>
      </c>
      <c r="UJ21" s="766">
        <f t="shared" si="146"/>
        <v>0</v>
      </c>
      <c r="UK21" s="767">
        <f t="shared" si="146"/>
        <v>0</v>
      </c>
      <c r="UL21" s="789">
        <f t="shared" si="146"/>
        <v>0</v>
      </c>
      <c r="UM21" s="767">
        <f t="shared" si="146"/>
        <v>0</v>
      </c>
      <c r="UN21" s="1235">
        <f t="shared" si="147"/>
        <v>0</v>
      </c>
      <c r="UO21" s="766">
        <f>[1]Субсидия_факт!IH16</f>
        <v>0</v>
      </c>
      <c r="UP21" s="767">
        <f>[1]Субсидия_факт!IN16</f>
        <v>0</v>
      </c>
      <c r="UQ21" s="789">
        <f>[1]Субсидия_факт!IT16</f>
        <v>0</v>
      </c>
      <c r="UR21" s="767">
        <f>[1]Субсидия_факт!IZ16</f>
        <v>0</v>
      </c>
      <c r="US21" s="789">
        <f>[1]Субсидия_факт!KD16</f>
        <v>0</v>
      </c>
      <c r="UT21" s="767">
        <f>[1]Субсидия_факт!KJ16</f>
        <v>0</v>
      </c>
      <c r="UU21" s="783">
        <f t="shared" si="148"/>
        <v>0</v>
      </c>
      <c r="UV21" s="1028"/>
      <c r="UW21" s="794"/>
      <c r="UX21" s="1028"/>
      <c r="UY21" s="794"/>
      <c r="UZ21" s="1028"/>
      <c r="VA21" s="794"/>
      <c r="VB21" s="957">
        <f>'Прочая  субсидия_МР  и  ГО'!B16</f>
        <v>36266512.509999998</v>
      </c>
      <c r="VC21" s="957">
        <f>'Прочая  субсидия_МР  и  ГО'!C16</f>
        <v>1759653.15</v>
      </c>
      <c r="VD21" s="1234">
        <f>'Прочая  субсидия_БП'!B16</f>
        <v>2010475.6</v>
      </c>
      <c r="VE21" s="801">
        <f>'Прочая  субсидия_БП'!C16</f>
        <v>311191.39</v>
      </c>
      <c r="VF21" s="1255">
        <f>'Прочая  субсидия_БП'!D16</f>
        <v>291233.49</v>
      </c>
      <c r="VG21" s="1248">
        <f>'Прочая  субсидия_БП'!E16</f>
        <v>311191.39</v>
      </c>
      <c r="VH21" s="1249">
        <f>'Прочая  субсидия_БП'!F16</f>
        <v>1719242.1099999999</v>
      </c>
      <c r="VI21" s="1255">
        <f>'Прочая  субсидия_БП'!G16</f>
        <v>0</v>
      </c>
      <c r="VJ21" s="801">
        <f t="shared" si="149"/>
        <v>491623883.75</v>
      </c>
      <c r="VK21" s="770">
        <f>'Проверочная  таблица'!WM21+'Проверочная  таблица'!VP21+'Проверочная  таблица'!VR21+WG21</f>
        <v>479649201.63</v>
      </c>
      <c r="VL21" s="795">
        <f>'Проверочная  таблица'!WN21+'Проверочная  таблица'!VV21+'Проверочная  таблица'!WB21+'Проверочная  таблица'!VX21+'Проверочная  таблица'!VZ21+WD21+WH21+VT21</f>
        <v>11974682.120000001</v>
      </c>
      <c r="VM21" s="957">
        <f t="shared" si="150"/>
        <v>263501013.53</v>
      </c>
      <c r="VN21" s="770">
        <f>'Проверочная  таблица'!WP21+'Проверочная  таблица'!VQ21+'Проверочная  таблица'!VS21+WJ21</f>
        <v>256423223.11000001</v>
      </c>
      <c r="VO21" s="795">
        <f>'Проверочная  таблица'!WQ21+'Проверочная  таблица'!VW21+'Проверочная  таблица'!WC21+'Проверочная  таблица'!VY21+'Проверочная  таблица'!WA21+WE21+WK21+VU21</f>
        <v>7077790.4199999999</v>
      </c>
      <c r="VP21" s="1253">
        <f>'Субвенция  на  полномочия'!B16</f>
        <v>454768389.23000002</v>
      </c>
      <c r="VQ21" s="1234">
        <f>'Субвенция  на  полномочия'!C16</f>
        <v>245310790.68000001</v>
      </c>
      <c r="VR21" s="790">
        <f>[1]Субвенция_факт!M15*1000</f>
        <v>19772881</v>
      </c>
      <c r="VS21" s="796">
        <v>8100000</v>
      </c>
      <c r="VT21" s="790">
        <f>[1]Субвенция_факт!AE15*1000</f>
        <v>0</v>
      </c>
      <c r="VU21" s="796"/>
      <c r="VV21" s="790">
        <f>[1]Субвенция_факт!AF15*1000</f>
        <v>2786400</v>
      </c>
      <c r="VW21" s="796">
        <f>ВУС!E69</f>
        <v>1207998</v>
      </c>
      <c r="VX21" s="1256">
        <f>[1]Субвенция_факт!AG15*1000</f>
        <v>0</v>
      </c>
      <c r="VY21" s="797"/>
      <c r="VZ21" s="792">
        <f>[1]Субвенция_факт!E15*1000</f>
        <v>0</v>
      </c>
      <c r="WA21" s="797"/>
      <c r="WB21" s="792">
        <f>[1]Субвенция_факт!F15*1000</f>
        <v>0</v>
      </c>
      <c r="WC21" s="797"/>
      <c r="WD21" s="791">
        <f>[1]Субвенция_факт!G15*1000</f>
        <v>0</v>
      </c>
      <c r="WE21" s="796"/>
      <c r="WF21" s="801">
        <f t="shared" si="151"/>
        <v>11155786.65</v>
      </c>
      <c r="WG21" s="766">
        <f>[1]Субвенция_факт!P15*1000</f>
        <v>2900504.5300000003</v>
      </c>
      <c r="WH21" s="767">
        <f>[1]Субвенция_факт!Q15*1000</f>
        <v>8255282.1200000001</v>
      </c>
      <c r="WI21" s="957">
        <f t="shared" si="152"/>
        <v>7432432.4299999997</v>
      </c>
      <c r="WJ21" s="770">
        <v>1932432.43</v>
      </c>
      <c r="WK21" s="798">
        <v>5500000</v>
      </c>
      <c r="WL21" s="957">
        <f t="shared" si="153"/>
        <v>3140426.87</v>
      </c>
      <c r="WM21" s="799">
        <f>[1]Субвенция_факт!X15*1000</f>
        <v>2207426.87</v>
      </c>
      <c r="WN21" s="800">
        <f>[1]Субвенция_факт!W15*1000</f>
        <v>933000</v>
      </c>
      <c r="WO21" s="957">
        <f t="shared" si="154"/>
        <v>1449792.42</v>
      </c>
      <c r="WP21" s="770">
        <v>1080000</v>
      </c>
      <c r="WQ21" s="798">
        <v>369792.42</v>
      </c>
      <c r="WR21" s="957">
        <f t="shared" si="240"/>
        <v>80114677.810000002</v>
      </c>
      <c r="WS21" s="957">
        <f t="shared" si="241"/>
        <v>26336466.329999998</v>
      </c>
      <c r="WT21" s="1253">
        <f t="shared" si="155"/>
        <v>0</v>
      </c>
      <c r="WU21" s="799">
        <f>'[1]Иные межбюджетные трансферты'!AM16</f>
        <v>0</v>
      </c>
      <c r="WV21" s="800">
        <f>'[1]Иные межбюджетные трансферты'!AO16</f>
        <v>0</v>
      </c>
      <c r="WW21" s="1253">
        <f t="shared" si="156"/>
        <v>0</v>
      </c>
      <c r="WX21" s="799"/>
      <c r="WY21" s="800"/>
      <c r="WZ21" s="957">
        <f t="shared" si="157"/>
        <v>1348095.69</v>
      </c>
      <c r="XA21" s="799">
        <f>'[1]Иные межбюджетные трансферты'!AI16</f>
        <v>67404.78</v>
      </c>
      <c r="XB21" s="800">
        <f>'[1]Иные межбюджетные трансферты'!AK16</f>
        <v>1280690.9099999999</v>
      </c>
      <c r="XC21" s="957">
        <f t="shared" si="158"/>
        <v>730736.84</v>
      </c>
      <c r="XD21" s="799">
        <v>36536.839999999997</v>
      </c>
      <c r="XE21" s="800">
        <v>694200</v>
      </c>
      <c r="XF21" s="957">
        <f t="shared" si="159"/>
        <v>15003043</v>
      </c>
      <c r="XG21" s="799">
        <f>'[1]Иные межбюджетные трансферты'!I16</f>
        <v>0</v>
      </c>
      <c r="XH21" s="800">
        <f>'[1]Иные межбюджетные трансферты'!K16</f>
        <v>15003043</v>
      </c>
      <c r="XI21" s="957">
        <f t="shared" si="242"/>
        <v>12693690</v>
      </c>
      <c r="XJ21" s="786"/>
      <c r="XK21" s="800">
        <v>12693690</v>
      </c>
      <c r="XL21" s="957">
        <f t="shared" si="161"/>
        <v>0</v>
      </c>
      <c r="XM21" s="789"/>
      <c r="XN21" s="957">
        <f t="shared" si="162"/>
        <v>0</v>
      </c>
      <c r="XO21" s="789"/>
      <c r="XP21" s="801">
        <f t="shared" si="163"/>
        <v>0</v>
      </c>
      <c r="XQ21" s="766">
        <f>'[1]Иные межбюджетные трансферты'!M16</f>
        <v>0</v>
      </c>
      <c r="XR21" s="957">
        <f t="shared" si="164"/>
        <v>0</v>
      </c>
      <c r="XS21" s="770"/>
      <c r="XT21" s="1252">
        <f t="shared" si="165"/>
        <v>0</v>
      </c>
      <c r="XU21" s="783">
        <f t="shared" si="166"/>
        <v>0</v>
      </c>
      <c r="XV21" s="1252">
        <f t="shared" si="167"/>
        <v>0</v>
      </c>
      <c r="XW21" s="783">
        <f t="shared" si="168"/>
        <v>0</v>
      </c>
      <c r="XX21" s="957">
        <f t="shared" si="243"/>
        <v>39976522.350000001</v>
      </c>
      <c r="XY21" s="787">
        <f>'[1]Иные межбюджетные трансферты'!E16</f>
        <v>0</v>
      </c>
      <c r="XZ21" s="799">
        <f>'[1]Иные межбюджетные трансферты'!G16</f>
        <v>18869680</v>
      </c>
      <c r="YA21" s="786">
        <f>'[1]Иные межбюджетные трансферты'!Q16</f>
        <v>0</v>
      </c>
      <c r="YB21" s="787">
        <f>'[1]Иные межбюджетные трансферты'!W16</f>
        <v>0</v>
      </c>
      <c r="YC21" s="786">
        <f>'[1]Иные межбюджетные трансферты'!Y16</f>
        <v>0</v>
      </c>
      <c r="YD21" s="1116">
        <f>'[1]Иные межбюджетные трансферты'!AE16</f>
        <v>18030732.199999999</v>
      </c>
      <c r="YE21" s="786">
        <f>'[1]Иные межбюджетные трансферты'!AQ16</f>
        <v>0</v>
      </c>
      <c r="YF21" s="766">
        <f>'[1]Иные межбюджетные трансферты'!AW16</f>
        <v>0</v>
      </c>
      <c r="YG21" s="786">
        <f>'[1]Иные межбюджетные трансферты'!AY16</f>
        <v>0</v>
      </c>
      <c r="YH21" s="1116">
        <f>'[1]Иные межбюджетные трансферты'!BA16</f>
        <v>3076110.1500000004</v>
      </c>
      <c r="YI21" s="957">
        <f t="shared" si="244"/>
        <v>1723893.1</v>
      </c>
      <c r="YJ21" s="786"/>
      <c r="YK21" s="786"/>
      <c r="YL21" s="755"/>
      <c r="YM21" s="786"/>
      <c r="YN21" s="751">
        <f t="shared" si="245"/>
        <v>0</v>
      </c>
      <c r="YO21" s="751">
        <v>0</v>
      </c>
      <c r="YP21" s="751"/>
      <c r="YQ21" s="751"/>
      <c r="YR21" s="751"/>
      <c r="YS21" s="751">
        <v>1723893.1</v>
      </c>
      <c r="YT21" s="957">
        <f t="shared" si="169"/>
        <v>23787016.77</v>
      </c>
      <c r="YU21" s="799">
        <f>'[1]Иные межбюджетные трансферты'!S16</f>
        <v>1034493.8099999999</v>
      </c>
      <c r="YV21" s="786">
        <f>'[1]Иные межбюджетные трансферты'!AA16</f>
        <v>0</v>
      </c>
      <c r="YW21" s="1116">
        <f>'[1]Иные межбюджетные трансферты'!AG16</f>
        <v>5848662</v>
      </c>
      <c r="YX21" s="787">
        <f>'[1]Иные межбюджетные трансферты'!AS16</f>
        <v>12155744.510000002</v>
      </c>
      <c r="YY21" s="751">
        <f>'[1]Иные межбюджетные трансферты'!BC16</f>
        <v>4748116.45</v>
      </c>
      <c r="YZ21" s="957">
        <f t="shared" si="170"/>
        <v>11188146.390000001</v>
      </c>
      <c r="ZA21" s="769">
        <f>86450+613089.84</f>
        <v>699539.84</v>
      </c>
      <c r="ZB21" s="769">
        <f t="shared" si="246"/>
        <v>0</v>
      </c>
      <c r="ZC21" s="769"/>
      <c r="ZD21" s="751">
        <v>10488606.550000001</v>
      </c>
      <c r="ZE21" s="751"/>
      <c r="ZF21" s="783">
        <f t="shared" si="171"/>
        <v>23787016.77</v>
      </c>
      <c r="ZG21" s="763">
        <f>'Проверочная  таблица'!YU21-ZS21</f>
        <v>1034493.8099999999</v>
      </c>
      <c r="ZH21" s="763">
        <f>'Проверочная  таблица'!YV21-ZT21</f>
        <v>0</v>
      </c>
      <c r="ZI21" s="763">
        <f>'Проверочная  таблица'!YW21-ZU21</f>
        <v>5848662</v>
      </c>
      <c r="ZJ21" s="763">
        <f>'Проверочная  таблица'!YX21-ZV21</f>
        <v>12155744.510000002</v>
      </c>
      <c r="ZK21" s="763">
        <f>'Проверочная  таблица'!YY21-ZW21</f>
        <v>4748116.45</v>
      </c>
      <c r="ZL21" s="783">
        <f t="shared" si="172"/>
        <v>11188146.390000001</v>
      </c>
      <c r="ZM21" s="763">
        <f>'Проверочная  таблица'!ZA21-ZY21</f>
        <v>699539.84</v>
      </c>
      <c r="ZN21" s="763">
        <f>'Проверочная  таблица'!ZB21-ZZ21</f>
        <v>0</v>
      </c>
      <c r="ZO21" s="763">
        <f>'Проверочная  таблица'!ZC21-AAA21</f>
        <v>0</v>
      </c>
      <c r="ZP21" s="763">
        <f>'Проверочная  таблица'!ZD21-AAB21</f>
        <v>10488606.550000001</v>
      </c>
      <c r="ZQ21" s="763">
        <f>'Проверочная  таблица'!ZE21-AAC21</f>
        <v>0</v>
      </c>
      <c r="ZR21" s="783">
        <f t="shared" si="173"/>
        <v>0</v>
      </c>
      <c r="ZS21" s="799">
        <f>'[1]Иные межбюджетные трансферты'!U16</f>
        <v>0</v>
      </c>
      <c r="ZT21" s="786">
        <f>'[1]Иные межбюджетные трансферты'!AC16</f>
        <v>0</v>
      </c>
      <c r="ZU21" s="787"/>
      <c r="ZV21" s="799">
        <f>'[1]Иные межбюджетные трансферты'!AU16</f>
        <v>0</v>
      </c>
      <c r="ZW21" s="751"/>
      <c r="ZX21" s="783">
        <f t="shared" si="174"/>
        <v>0</v>
      </c>
      <c r="ZY21" s="769"/>
      <c r="ZZ21" s="769">
        <f t="shared" si="247"/>
        <v>0</v>
      </c>
      <c r="AAA21" s="769"/>
      <c r="AAB21" s="751"/>
      <c r="AAC21" s="751"/>
      <c r="AAD21" s="957">
        <f>AAF21+'Проверочная  таблица'!AAN21+AAJ21+'Проверочная  таблица'!AAR21+AAL21+'Проверочная  таблица'!AAT21</f>
        <v>0</v>
      </c>
      <c r="AAE21" s="957">
        <f>AAG21+'Проверочная  таблица'!AAO21+AAK21+'Проверочная  таблица'!AAS21+AAM21+'Проверочная  таблица'!AAU21</f>
        <v>0</v>
      </c>
      <c r="AAF21" s="801"/>
      <c r="AAG21" s="801"/>
      <c r="AAH21" s="801"/>
      <c r="AAI21" s="801"/>
      <c r="AAJ21" s="1235">
        <f t="shared" si="175"/>
        <v>0</v>
      </c>
      <c r="AAK21" s="783">
        <f t="shared" si="175"/>
        <v>0</v>
      </c>
      <c r="AAL21" s="802"/>
      <c r="AAM21" s="783"/>
      <c r="AAN21" s="801"/>
      <c r="AAO21" s="801"/>
      <c r="AAP21" s="801"/>
      <c r="AAQ21" s="801"/>
      <c r="AAR21" s="1235">
        <f t="shared" si="176"/>
        <v>0</v>
      </c>
      <c r="AAS21" s="783">
        <f t="shared" si="176"/>
        <v>0</v>
      </c>
      <c r="AAT21" s="783"/>
      <c r="AAU21" s="783"/>
      <c r="AAV21" s="1246">
        <f>'Проверочная  таблица'!AAN21+'Проверочная  таблица'!AAP21</f>
        <v>0</v>
      </c>
      <c r="AAW21" s="1246">
        <f>'Проверочная  таблица'!AAO21+'Проверочная  таблица'!AAQ21</f>
        <v>0</v>
      </c>
    </row>
    <row r="22" spans="1:725" ht="24" customHeight="1" x14ac:dyDescent="0.25">
      <c r="A22" s="784" t="s">
        <v>1310</v>
      </c>
      <c r="B22" s="801">
        <f>D22+AN22+'Проверочная  таблица'!VJ22+'Проверочная  таблица'!WR22</f>
        <v>1591606796.1400001</v>
      </c>
      <c r="C22" s="957">
        <f>E22+'Проверочная  таблица'!VM22+AO22+'Проверочная  таблица'!WS22</f>
        <v>479153892.21999997</v>
      </c>
      <c r="D22" s="1234">
        <f t="shared" si="0"/>
        <v>212486919.19</v>
      </c>
      <c r="E22" s="801">
        <f t="shared" si="1"/>
        <v>116243448</v>
      </c>
      <c r="F22" s="1238">
        <f>'[1]Дотация  из  ОБ_факт'!M15</f>
        <v>59630205</v>
      </c>
      <c r="G22" s="1247">
        <v>29815104</v>
      </c>
      <c r="H22" s="1238">
        <f>'[1]Дотация  из  ОБ_факт'!G15</f>
        <v>53609761.189999998</v>
      </c>
      <c r="I22" s="1247">
        <v>26804878</v>
      </c>
      <c r="J22" s="1248">
        <f t="shared" si="2"/>
        <v>33486094.23</v>
      </c>
      <c r="K22" s="1249">
        <f t="shared" si="2"/>
        <v>16743044</v>
      </c>
      <c r="L22" s="1248">
        <f>'[1]Дотация  из  ОБ_факт'!K15</f>
        <v>20123666.959999997</v>
      </c>
      <c r="M22" s="785">
        <v>10061834</v>
      </c>
      <c r="N22" s="1238">
        <f>'[1]Дотация  из  ОБ_факт'!Q15</f>
        <v>21000000</v>
      </c>
      <c r="O22" s="1247">
        <v>21000000</v>
      </c>
      <c r="P22" s="1238">
        <f>'[1]Дотация  из  ОБ_факт'!S15</f>
        <v>76246953</v>
      </c>
      <c r="Q22" s="1247">
        <v>38123466</v>
      </c>
      <c r="R22" s="1248">
        <f t="shared" si="3"/>
        <v>57847562</v>
      </c>
      <c r="S22" s="1249">
        <f t="shared" si="3"/>
        <v>28923770</v>
      </c>
      <c r="T22" s="1248">
        <f>'[1]Дотация  из  ОБ_факт'!W15</f>
        <v>18399391</v>
      </c>
      <c r="U22" s="785">
        <v>9199696</v>
      </c>
      <c r="V22" s="790">
        <f t="shared" si="4"/>
        <v>500000</v>
      </c>
      <c r="W22" s="1250">
        <f>'[1]Дотация  из  ОБ_факт'!AA15</f>
        <v>0</v>
      </c>
      <c r="X22" s="1251">
        <f>'[1]Дотация  из  ОБ_факт'!AC15</f>
        <v>500000</v>
      </c>
      <c r="Y22" s="1251">
        <f>'[1]Дотация  из  ОБ_факт'!AG15</f>
        <v>0</v>
      </c>
      <c r="Z22" s="791">
        <f t="shared" si="5"/>
        <v>500000</v>
      </c>
      <c r="AA22" s="751">
        <f t="shared" si="180"/>
        <v>0</v>
      </c>
      <c r="AB22" s="751">
        <f t="shared" si="180"/>
        <v>500000</v>
      </c>
      <c r="AC22" s="786"/>
      <c r="AD22" s="790">
        <f t="shared" si="6"/>
        <v>1500000</v>
      </c>
      <c r="AE22" s="1250">
        <f>'[1]Дотация  из  ОБ_факт'!Y15</f>
        <v>0</v>
      </c>
      <c r="AF22" s="1251">
        <f>'[1]Дотация  из  ОБ_факт'!AE15</f>
        <v>1500000</v>
      </c>
      <c r="AG22" s="790">
        <f t="shared" si="7"/>
        <v>0</v>
      </c>
      <c r="AH22" s="787"/>
      <c r="AI22" s="786"/>
      <c r="AJ22" s="1248">
        <f t="shared" si="8"/>
        <v>0</v>
      </c>
      <c r="AK22" s="1249">
        <f t="shared" si="9"/>
        <v>0</v>
      </c>
      <c r="AL22" s="1248">
        <f>'[1]Дотация  из  ОБ_факт'!AE15</f>
        <v>1500000</v>
      </c>
      <c r="AM22" s="788"/>
      <c r="AN22" s="919">
        <f>'Проверочная  таблица'!VB22+'Проверочная  таблица'!VD22+BT22+BV22+CH22+CJ22+BH22+BL22+'Проверочная  таблица'!NB22+'Проверочная  таблица'!NR22+'Проверочная  таблица'!EB22+'Проверочная  таблица'!OJ22+DT22+'Проверочная  таблица'!JR22+'Проверочная  таблица'!JX22+'Проверочная  таблица'!OR22+'Проверочная  таблица'!OZ22+JL22+AP22+AV22+FB22+FH22+CV22+SX22+EH22+TL22+QH22+EN22+EV22+LV22+MD22+SR22+GV22+SD22+RF22+KP22+KZ22+RL22+SJ22+CP22+QZ22+HL22+GF22+HR22+HX22+FZ22+DJ22+PX22+CB22+IP22+JF22+HD22+GL22+IV22</f>
        <v>863261091.72000003</v>
      </c>
      <c r="AO22" s="920">
        <f>'Проверочная  таблица'!VC22+'Проверочная  таблица'!VE22+BU22+BW22+CI22+CK22+BJ22+BN22+'Проверочная  таблица'!NJ22+'Проверочная  таблица'!NU22+'Проверочная  таблица'!EE22+'Проверочная  таблица'!ON22+DX22+'Проверочная  таблица'!JU22+'Проверочная  таблица'!KA22+'Проверочная  таблица'!OV22+'Проверочная  таблица'!PD22+JO22+AS22+AX22+FE22+FK22+DC22+TE22+EK22+TS22+QK22+ER22+EY22+LZ22+MH22+SU22+GZ22+SG22+RI22+KU22+LE22+RO22+SN22+CS22+RC22+HO22+GI22+HU22+IA22+GC22+DM22+QC22+CE22+IS22+JI22+HF22+GO22+IY22</f>
        <v>96418585.890000001</v>
      </c>
      <c r="AP22" s="957">
        <f t="shared" si="10"/>
        <v>35842050.659999996</v>
      </c>
      <c r="AQ22" s="789">
        <f>[1]Субсидия_факт!HV17</f>
        <v>35842050.659999996</v>
      </c>
      <c r="AR22" s="770">
        <f>[1]Субсидия_факт!MR17</f>
        <v>0</v>
      </c>
      <c r="AS22" s="957">
        <f t="shared" si="11"/>
        <v>22467000.66</v>
      </c>
      <c r="AT22" s="770">
        <v>22467000.66</v>
      </c>
      <c r="AU22" s="789"/>
      <c r="AV22" s="910">
        <f t="shared" si="12"/>
        <v>0</v>
      </c>
      <c r="AW22" s="770">
        <f>[1]Субсидия_факт!MV17</f>
        <v>0</v>
      </c>
      <c r="AX22" s="1224">
        <f t="shared" si="13"/>
        <v>0</v>
      </c>
      <c r="AY22" s="770"/>
      <c r="AZ22" s="1225">
        <f t="shared" si="14"/>
        <v>0</v>
      </c>
      <c r="BA22" s="770">
        <f t="shared" si="15"/>
        <v>0</v>
      </c>
      <c r="BB22" s="783">
        <f t="shared" si="16"/>
        <v>0</v>
      </c>
      <c r="BC22" s="789">
        <f t="shared" si="17"/>
        <v>0</v>
      </c>
      <c r="BD22" s="782">
        <f t="shared" si="18"/>
        <v>0</v>
      </c>
      <c r="BE22" s="770">
        <f>[1]Субсидия_факт!MX17</f>
        <v>0</v>
      </c>
      <c r="BF22" s="802">
        <f t="shared" si="19"/>
        <v>0</v>
      </c>
      <c r="BG22" s="770"/>
      <c r="BH22" s="801">
        <f t="shared" si="20"/>
        <v>0</v>
      </c>
      <c r="BI22" s="770">
        <f>[1]Субсидия_факт!KZ17</f>
        <v>0</v>
      </c>
      <c r="BJ22" s="957">
        <f t="shared" si="21"/>
        <v>0</v>
      </c>
      <c r="BK22" s="770"/>
      <c r="BL22" s="801">
        <f t="shared" si="22"/>
        <v>88076907.099999994</v>
      </c>
      <c r="BM22" s="770">
        <f>[1]Субсидия_факт!LB17</f>
        <v>88076907.099999994</v>
      </c>
      <c r="BN22" s="957">
        <f t="shared" si="23"/>
        <v>0</v>
      </c>
      <c r="BO22" s="770"/>
      <c r="BP22" s="936">
        <f t="shared" si="24"/>
        <v>0</v>
      </c>
      <c r="BQ22" s="923">
        <f t="shared" si="25"/>
        <v>0</v>
      </c>
      <c r="BR22" s="934">
        <f t="shared" si="26"/>
        <v>88076907.099999994</v>
      </c>
      <c r="BS22" s="936">
        <f t="shared" si="27"/>
        <v>0</v>
      </c>
      <c r="BT22" s="801">
        <f>[1]Субсидия_факт!GV17</f>
        <v>0</v>
      </c>
      <c r="BU22" s="790"/>
      <c r="BV22" s="1253">
        <f>[1]Субсидия_факт!GX17</f>
        <v>0</v>
      </c>
      <c r="BW22" s="791"/>
      <c r="BX22" s="1252">
        <f t="shared" si="28"/>
        <v>0</v>
      </c>
      <c r="BY22" s="1235">
        <f t="shared" si="28"/>
        <v>0</v>
      </c>
      <c r="BZ22" s="783">
        <f>[1]Субсидия_факт!GZ17</f>
        <v>0</v>
      </c>
      <c r="CA22" s="785"/>
      <c r="CB22" s="801">
        <f t="shared" si="29"/>
        <v>104724050.66</v>
      </c>
      <c r="CC22" s="766">
        <f>[1]Субсидия_факт!HL17</f>
        <v>35842050.659999996</v>
      </c>
      <c r="CD22" s="770">
        <f>[1]Субсидия_факт!HN17</f>
        <v>68882000</v>
      </c>
      <c r="CE22" s="957">
        <f t="shared" si="30"/>
        <v>0</v>
      </c>
      <c r="CF22" s="770"/>
      <c r="CG22" s="770"/>
      <c r="CH22" s="957">
        <f>[1]Субсидия_факт!HB17</f>
        <v>0</v>
      </c>
      <c r="CI22" s="792"/>
      <c r="CJ22" s="957">
        <f>[1]Субсидия_факт!HD17</f>
        <v>0</v>
      </c>
      <c r="CK22" s="805"/>
      <c r="CL22" s="1226">
        <f t="shared" si="31"/>
        <v>0</v>
      </c>
      <c r="CM22" s="782">
        <f t="shared" si="31"/>
        <v>0</v>
      </c>
      <c r="CN22" s="1225">
        <f>[1]Субсидия_факт!HF17</f>
        <v>0</v>
      </c>
      <c r="CO22" s="753"/>
      <c r="CP22" s="801">
        <f t="shared" si="32"/>
        <v>44001925.75</v>
      </c>
      <c r="CQ22" s="766">
        <f>[1]Субсидия_факт!HP17</f>
        <v>0</v>
      </c>
      <c r="CR22" s="770">
        <f>[1]Субсидия_факт!HR17</f>
        <v>44001925.75</v>
      </c>
      <c r="CS22" s="957">
        <f t="shared" si="33"/>
        <v>0</v>
      </c>
      <c r="CT22" s="770"/>
      <c r="CU22" s="770"/>
      <c r="CV22" s="910">
        <f t="shared" si="34"/>
        <v>0</v>
      </c>
      <c r="CW22" s="763">
        <f>[1]Субсидия_факт!LR17</f>
        <v>0</v>
      </c>
      <c r="CX22" s="762">
        <f>[1]Субсидия_факт!LT17</f>
        <v>0</v>
      </c>
      <c r="CY22" s="754">
        <f>[1]Субсидия_факт!LV17</f>
        <v>0</v>
      </c>
      <c r="CZ22" s="762">
        <f>[1]Субсидия_факт!MB17</f>
        <v>0</v>
      </c>
      <c r="DA22" s="754">
        <f>[1]Субсидия_факт!MH17</f>
        <v>0</v>
      </c>
      <c r="DB22" s="762">
        <f>[1]Субсидия_факт!MJ17</f>
        <v>0</v>
      </c>
      <c r="DC22" s="910">
        <f t="shared" si="35"/>
        <v>0</v>
      </c>
      <c r="DD22" s="755"/>
      <c r="DE22" s="762"/>
      <c r="DF22" s="754"/>
      <c r="DG22" s="762"/>
      <c r="DH22" s="754"/>
      <c r="DI22" s="762"/>
      <c r="DJ22" s="920">
        <f t="shared" si="205"/>
        <v>0</v>
      </c>
      <c r="DK22" s="763">
        <f>[1]Субсидия_факт!LX17</f>
        <v>0</v>
      </c>
      <c r="DL22" s="762">
        <f>[1]Субсидия_факт!MD17</f>
        <v>0</v>
      </c>
      <c r="DM22" s="910">
        <f t="shared" si="37"/>
        <v>0</v>
      </c>
      <c r="DN22" s="763"/>
      <c r="DO22" s="764"/>
      <c r="DP22" s="1226">
        <f t="shared" si="206"/>
        <v>0</v>
      </c>
      <c r="DQ22" s="782">
        <f t="shared" si="207"/>
        <v>0</v>
      </c>
      <c r="DR22" s="1225">
        <f t="shared" si="208"/>
        <v>0</v>
      </c>
      <c r="DS22" s="753">
        <f t="shared" si="209"/>
        <v>0</v>
      </c>
      <c r="DT22" s="957">
        <f t="shared" si="210"/>
        <v>0</v>
      </c>
      <c r="DU22" s="789">
        <f>[1]Субсидия_факт!R17</f>
        <v>0</v>
      </c>
      <c r="DV22" s="766">
        <f>[1]Субсидия_факт!T17</f>
        <v>0</v>
      </c>
      <c r="DW22" s="770">
        <f>[1]Субсидия_факт!V17</f>
        <v>0</v>
      </c>
      <c r="DX22" s="957">
        <f t="shared" si="211"/>
        <v>0</v>
      </c>
      <c r="DY22" s="770"/>
      <c r="DZ22" s="770"/>
      <c r="EA22" s="770"/>
      <c r="EB22" s="801">
        <f t="shared" si="38"/>
        <v>0</v>
      </c>
      <c r="EC22" s="766">
        <f>[1]Субсидия_факт!AX17</f>
        <v>0</v>
      </c>
      <c r="ED22" s="767">
        <f>[1]Субсидия_факт!AZ17</f>
        <v>0</v>
      </c>
      <c r="EE22" s="957">
        <f t="shared" si="39"/>
        <v>0</v>
      </c>
      <c r="EF22" s="789"/>
      <c r="EG22" s="793"/>
      <c r="EH22" s="801">
        <f t="shared" si="40"/>
        <v>0</v>
      </c>
      <c r="EI22" s="766">
        <f>[1]Субсидия_факт!X17</f>
        <v>0</v>
      </c>
      <c r="EJ22" s="767">
        <f>[1]Субсидия_факт!Z17</f>
        <v>0</v>
      </c>
      <c r="EK22" s="957">
        <f t="shared" si="41"/>
        <v>0</v>
      </c>
      <c r="EL22" s="766"/>
      <c r="EM22" s="767"/>
      <c r="EN22" s="920">
        <f t="shared" si="212"/>
        <v>0</v>
      </c>
      <c r="EO22" s="763">
        <f>[1]Субсидия_факт!AP17</f>
        <v>0</v>
      </c>
      <c r="EP22" s="763">
        <f>[1]Субсидия_факт!AL17</f>
        <v>0</v>
      </c>
      <c r="EQ22" s="764">
        <f>[1]Субсидия_факт!AN17</f>
        <v>0</v>
      </c>
      <c r="ER22" s="920">
        <f t="shared" si="42"/>
        <v>0</v>
      </c>
      <c r="ES22" s="763"/>
      <c r="ET22" s="763"/>
      <c r="EU22" s="764"/>
      <c r="EV22" s="920">
        <f t="shared" si="43"/>
        <v>82494836.710000008</v>
      </c>
      <c r="EW22" s="763">
        <f>[1]Субсидия_факт!HH17</f>
        <v>0</v>
      </c>
      <c r="EX22" s="762">
        <f>[1]Субсидия_факт!HJ17</f>
        <v>82494836.710000008</v>
      </c>
      <c r="EY22" s="910">
        <f t="shared" si="44"/>
        <v>0</v>
      </c>
      <c r="EZ22" s="763"/>
      <c r="FA22" s="762"/>
      <c r="FB22" s="920">
        <f t="shared" si="45"/>
        <v>0</v>
      </c>
      <c r="FC22" s="766">
        <f>[1]Субсидия_факт!PK17</f>
        <v>0</v>
      </c>
      <c r="FD22" s="767">
        <f>[1]Субсидия_факт!PQ17</f>
        <v>0</v>
      </c>
      <c r="FE22" s="910">
        <f t="shared" si="46"/>
        <v>0</v>
      </c>
      <c r="FF22" s="763"/>
      <c r="FG22" s="764"/>
      <c r="FH22" s="920">
        <f t="shared" si="47"/>
        <v>0</v>
      </c>
      <c r="FI22" s="763">
        <f>[1]Субсидия_факт!PM17</f>
        <v>0</v>
      </c>
      <c r="FJ22" s="762">
        <f>[1]Субсидия_факт!PS17</f>
        <v>0</v>
      </c>
      <c r="FK22" s="910">
        <f t="shared" si="48"/>
        <v>0</v>
      </c>
      <c r="FL22" s="763"/>
      <c r="FM22" s="764"/>
      <c r="FN22" s="1233">
        <f t="shared" si="49"/>
        <v>0</v>
      </c>
      <c r="FO22" s="763">
        <f t="shared" si="50"/>
        <v>0</v>
      </c>
      <c r="FP22" s="762">
        <f t="shared" si="50"/>
        <v>0</v>
      </c>
      <c r="FQ22" s="782">
        <f t="shared" si="51"/>
        <v>0</v>
      </c>
      <c r="FR22" s="763">
        <f t="shared" si="52"/>
        <v>0</v>
      </c>
      <c r="FS22" s="762">
        <f t="shared" si="52"/>
        <v>0</v>
      </c>
      <c r="FT22" s="1233">
        <f t="shared" si="53"/>
        <v>0</v>
      </c>
      <c r="FU22" s="763">
        <f>[1]Субсидия_факт!PO17</f>
        <v>0</v>
      </c>
      <c r="FV22" s="762">
        <f>[1]Субсидия_факт!PU17</f>
        <v>0</v>
      </c>
      <c r="FW22" s="782">
        <f t="shared" si="54"/>
        <v>0</v>
      </c>
      <c r="FX22" s="763"/>
      <c r="FY22" s="764"/>
      <c r="FZ22" s="920">
        <f t="shared" si="55"/>
        <v>0</v>
      </c>
      <c r="GA22" s="766">
        <f>[1]Субсидия_факт!EP17</f>
        <v>0</v>
      </c>
      <c r="GB22" s="767">
        <f>[1]Субсидия_факт!ER17</f>
        <v>0</v>
      </c>
      <c r="GC22" s="1234">
        <f t="shared" si="56"/>
        <v>0</v>
      </c>
      <c r="GD22" s="766"/>
      <c r="GE22" s="767"/>
      <c r="GF22" s="801">
        <f t="shared" si="57"/>
        <v>3262426.3200000003</v>
      </c>
      <c r="GG22" s="766">
        <f>[1]Субсидия_факт!JN17</f>
        <v>3262426.3200000003</v>
      </c>
      <c r="GH22" s="767">
        <f>[1]Субсидия_факт!JP17</f>
        <v>0</v>
      </c>
      <c r="GI22" s="801">
        <f t="shared" si="58"/>
        <v>0</v>
      </c>
      <c r="GJ22" s="766"/>
      <c r="GK22" s="767"/>
      <c r="GL22" s="1235">
        <f t="shared" si="59"/>
        <v>0</v>
      </c>
      <c r="GM22" s="763">
        <f>[1]Субсидия_факт!JR17</f>
        <v>0</v>
      </c>
      <c r="GN22" s="764">
        <f>[1]Субсидия_факт!JV17</f>
        <v>0</v>
      </c>
      <c r="GO22" s="1235">
        <f t="shared" si="60"/>
        <v>0</v>
      </c>
      <c r="GP22" s="766"/>
      <c r="GQ22" s="793"/>
      <c r="GR22" s="1235">
        <f t="shared" si="213"/>
        <v>0</v>
      </c>
      <c r="GS22" s="783">
        <f t="shared" si="214"/>
        <v>0</v>
      </c>
      <c r="GT22" s="1252">
        <f t="shared" si="215"/>
        <v>0</v>
      </c>
      <c r="GU22" s="783">
        <f t="shared" si="216"/>
        <v>0</v>
      </c>
      <c r="GV22" s="1234">
        <f t="shared" si="61"/>
        <v>88076907.099999994</v>
      </c>
      <c r="GW22" s="766">
        <f>[1]Субсидия_факт!KL17</f>
        <v>0</v>
      </c>
      <c r="GX22" s="767">
        <f>[1]Субсидия_факт!KN17</f>
        <v>0</v>
      </c>
      <c r="GY22" s="766">
        <f>[1]Субсидия_факт!KP17</f>
        <v>88076907.099999994</v>
      </c>
      <c r="GZ22" s="801">
        <f t="shared" si="62"/>
        <v>0</v>
      </c>
      <c r="HA22" s="766"/>
      <c r="HB22" s="767"/>
      <c r="HC22" s="770"/>
      <c r="HD22" s="1235">
        <f t="shared" si="217"/>
        <v>0</v>
      </c>
      <c r="HE22" s="766">
        <f>[1]Субсидия_факт!KR17</f>
        <v>0</v>
      </c>
      <c r="HF22" s="1235">
        <f t="shared" si="217"/>
        <v>0</v>
      </c>
      <c r="HG22" s="770"/>
      <c r="HH22" s="1235">
        <f t="shared" si="218"/>
        <v>0</v>
      </c>
      <c r="HI22" s="1235">
        <f t="shared" si="219"/>
        <v>0</v>
      </c>
      <c r="HJ22" s="1235">
        <f t="shared" si="220"/>
        <v>0</v>
      </c>
      <c r="HK22" s="1235">
        <f t="shared" si="221"/>
        <v>0</v>
      </c>
      <c r="HL22" s="801">
        <f t="shared" si="63"/>
        <v>4638166.1499999976</v>
      </c>
      <c r="HM22" s="766">
        <f>[1]Субсидия_факт!KV17</f>
        <v>4638166.1499999976</v>
      </c>
      <c r="HN22" s="767">
        <f>[1]Субсидия_факт!KX17</f>
        <v>0</v>
      </c>
      <c r="HO22" s="957">
        <f t="shared" si="64"/>
        <v>0</v>
      </c>
      <c r="HP22" s="766"/>
      <c r="HQ22" s="767"/>
      <c r="HR22" s="801">
        <f t="shared" si="65"/>
        <v>0</v>
      </c>
      <c r="HS22" s="766"/>
      <c r="HT22" s="767"/>
      <c r="HU22" s="957">
        <f t="shared" si="66"/>
        <v>0</v>
      </c>
      <c r="HV22" s="766"/>
      <c r="HW22" s="767"/>
      <c r="HX22" s="801">
        <f t="shared" si="67"/>
        <v>821052.83999999985</v>
      </c>
      <c r="HY22" s="766">
        <f>[1]Субсидия_факт!FV17</f>
        <v>0</v>
      </c>
      <c r="HZ22" s="767">
        <f>[1]Субсидия_факт!FZ17</f>
        <v>821052.83999999985</v>
      </c>
      <c r="IA22" s="957">
        <f t="shared" si="68"/>
        <v>0</v>
      </c>
      <c r="IB22" s="766"/>
      <c r="IC22" s="767"/>
      <c r="ID22" s="1233">
        <f t="shared" si="69"/>
        <v>0</v>
      </c>
      <c r="IE22" s="763">
        <f t="shared" si="70"/>
        <v>-821052.83999999985</v>
      </c>
      <c r="IF22" s="762">
        <f t="shared" si="70"/>
        <v>821052.83999999985</v>
      </c>
      <c r="IG22" s="782">
        <f t="shared" si="71"/>
        <v>0</v>
      </c>
      <c r="IH22" s="763">
        <f t="shared" si="72"/>
        <v>0</v>
      </c>
      <c r="II22" s="762">
        <f t="shared" si="72"/>
        <v>0</v>
      </c>
      <c r="IJ22" s="1233">
        <f t="shared" si="73"/>
        <v>821052.83999999985</v>
      </c>
      <c r="IK22" s="763">
        <f>[1]Субсидия_факт!FX17</f>
        <v>821052.83999999985</v>
      </c>
      <c r="IL22" s="762">
        <f>[1]Субсидия_факт!GB17</f>
        <v>0</v>
      </c>
      <c r="IM22" s="782">
        <f t="shared" si="74"/>
        <v>0</v>
      </c>
      <c r="IN22" s="763">
        <f t="shared" si="188"/>
        <v>0</v>
      </c>
      <c r="IO22" s="764">
        <f t="shared" si="189"/>
        <v>0</v>
      </c>
      <c r="IP22" s="801">
        <f t="shared" si="75"/>
        <v>0</v>
      </c>
      <c r="IQ22" s="763">
        <f>[1]Субсидия_факт!ED17</f>
        <v>0</v>
      </c>
      <c r="IR22" s="764">
        <f>[1]Субсидия_факт!EF17</f>
        <v>0</v>
      </c>
      <c r="IS22" s="957">
        <f t="shared" si="76"/>
        <v>0</v>
      </c>
      <c r="IT22" s="766"/>
      <c r="IU22" s="767"/>
      <c r="IV22" s="1259">
        <f t="shared" si="77"/>
        <v>0</v>
      </c>
      <c r="IW22" s="763">
        <f>[1]Субсидия_факт!EH17</f>
        <v>0</v>
      </c>
      <c r="IX22" s="764">
        <f>[1]Субсидия_факт!EL17</f>
        <v>0</v>
      </c>
      <c r="IY22" s="1254">
        <f t="shared" si="78"/>
        <v>0</v>
      </c>
      <c r="IZ22" s="766"/>
      <c r="JA22" s="793"/>
      <c r="JB22" s="1235">
        <f t="shared" si="222"/>
        <v>0</v>
      </c>
      <c r="JC22" s="1235">
        <f t="shared" si="223"/>
        <v>0</v>
      </c>
      <c r="JD22" s="1235">
        <f t="shared" si="224"/>
        <v>0</v>
      </c>
      <c r="JE22" s="783">
        <f t="shared" si="225"/>
        <v>0</v>
      </c>
      <c r="JF22" s="1234">
        <f t="shared" si="79"/>
        <v>0</v>
      </c>
      <c r="JG22" s="763">
        <f>[1]Субсидия_факт!BX17</f>
        <v>0</v>
      </c>
      <c r="JH22" s="764">
        <f>[1]Субсидия_факт!BZ17</f>
        <v>0</v>
      </c>
      <c r="JI22" s="957">
        <f t="shared" si="80"/>
        <v>0</v>
      </c>
      <c r="JJ22" s="766"/>
      <c r="JK22" s="767"/>
      <c r="JL22" s="801">
        <f t="shared" si="81"/>
        <v>0</v>
      </c>
      <c r="JM22" s="766">
        <f>[1]Субсидия_факт!ET17</f>
        <v>0</v>
      </c>
      <c r="JN22" s="767">
        <f>[1]Субсидия_факт!EV17</f>
        <v>0</v>
      </c>
      <c r="JO22" s="957">
        <f t="shared" si="82"/>
        <v>0</v>
      </c>
      <c r="JP22" s="766"/>
      <c r="JQ22" s="767"/>
      <c r="JR22" s="910">
        <f t="shared" si="83"/>
        <v>11771.349999999991</v>
      </c>
      <c r="JS22" s="763">
        <f>[1]Субсидия_факт!EX17</f>
        <v>0</v>
      </c>
      <c r="JT22" s="762">
        <f>[1]Субсидия_факт!FD17</f>
        <v>11771.349999999991</v>
      </c>
      <c r="JU22" s="910">
        <f t="shared" si="84"/>
        <v>0</v>
      </c>
      <c r="JV22" s="763"/>
      <c r="JW22" s="764"/>
      <c r="JX22" s="910">
        <f t="shared" si="85"/>
        <v>11771.349999999991</v>
      </c>
      <c r="JY22" s="763">
        <f>[1]Субсидия_факт!EZ17</f>
        <v>0</v>
      </c>
      <c r="JZ22" s="764">
        <f>[1]Субсидия_факт!FF17</f>
        <v>11771.349999999991</v>
      </c>
      <c r="KA22" s="910">
        <f t="shared" si="86"/>
        <v>0</v>
      </c>
      <c r="KB22" s="754"/>
      <c r="KC22" s="768"/>
      <c r="KD22" s="910">
        <f t="shared" si="87"/>
        <v>-117556.50000000001</v>
      </c>
      <c r="KE22" s="755">
        <f>'Проверочная  таблица'!JY22-'Проверочная  таблица'!KK22</f>
        <v>-33625.240000000005</v>
      </c>
      <c r="KF22" s="764">
        <f>'Проверочная  таблица'!JZ22-'Проверочная  таблица'!KL22</f>
        <v>-83931.260000000009</v>
      </c>
      <c r="KG22" s="1225">
        <f t="shared" si="88"/>
        <v>0</v>
      </c>
      <c r="KH22" s="754">
        <f>'Проверочная  таблица'!KB22-'Проверочная  таблица'!KN22</f>
        <v>0</v>
      </c>
      <c r="KI22" s="771">
        <f>'Проверочная  таблица'!KC22-'Проверочная  таблица'!KO22</f>
        <v>0</v>
      </c>
      <c r="KJ22" s="910">
        <f t="shared" si="89"/>
        <v>129327.85</v>
      </c>
      <c r="KK22" s="763">
        <f>[1]Субсидия_факт!FB17</f>
        <v>33625.240000000005</v>
      </c>
      <c r="KL22" s="762">
        <f>[1]Субсидия_факт!FH17</f>
        <v>95702.61</v>
      </c>
      <c r="KM22" s="782">
        <f t="shared" si="90"/>
        <v>0</v>
      </c>
      <c r="KN22" s="763"/>
      <c r="KO22" s="764"/>
      <c r="KP22" s="1217">
        <f t="shared" si="226"/>
        <v>1632754.67</v>
      </c>
      <c r="KQ22" s="754">
        <f>[1]Субсидия_факт!OD17</f>
        <v>1430080</v>
      </c>
      <c r="KR22" s="764">
        <f>[1]Субсидия_факт!OJ17</f>
        <v>46224.67</v>
      </c>
      <c r="KS22" s="754">
        <f>[1]Субсидия_факт!OR17</f>
        <v>56877.03</v>
      </c>
      <c r="KT22" s="764">
        <f>[1]Субсидия_факт!OT17</f>
        <v>99572.97</v>
      </c>
      <c r="KU22" s="1217">
        <f t="shared" si="91"/>
        <v>0</v>
      </c>
      <c r="KV22" s="754"/>
      <c r="KW22" s="764"/>
      <c r="KX22" s="754"/>
      <c r="KY22" s="764"/>
      <c r="KZ22" s="1217">
        <f t="shared" si="227"/>
        <v>57390</v>
      </c>
      <c r="LA22" s="789">
        <f>[1]Субсидия_факт!OF17</f>
        <v>57390</v>
      </c>
      <c r="LB22" s="767">
        <f>[1]Субсидия_факт!OL17</f>
        <v>0</v>
      </c>
      <c r="LC22" s="789"/>
      <c r="LD22" s="767"/>
      <c r="LE22" s="1217">
        <f t="shared" si="92"/>
        <v>0</v>
      </c>
      <c r="LF22" s="754"/>
      <c r="LG22" s="764"/>
      <c r="LH22" s="754"/>
      <c r="LI22" s="764"/>
      <c r="LJ22" s="1219">
        <f t="shared" si="93"/>
        <v>-41670</v>
      </c>
      <c r="LK22" s="789">
        <f t="shared" si="94"/>
        <v>-41670</v>
      </c>
      <c r="LL22" s="767">
        <f t="shared" si="94"/>
        <v>0</v>
      </c>
      <c r="LM22" s="1219">
        <f t="shared" si="95"/>
        <v>0</v>
      </c>
      <c r="LN22" s="789">
        <f t="shared" si="96"/>
        <v>0</v>
      </c>
      <c r="LO22" s="767">
        <f t="shared" si="96"/>
        <v>0</v>
      </c>
      <c r="LP22" s="1219">
        <f t="shared" si="97"/>
        <v>99060</v>
      </c>
      <c r="LQ22" s="763">
        <f>[1]Субсидия_факт!OH17</f>
        <v>99060</v>
      </c>
      <c r="LR22" s="762">
        <f>[1]Субсидия_факт!ON17</f>
        <v>0</v>
      </c>
      <c r="LS22" s="1219">
        <f t="shared" si="98"/>
        <v>0</v>
      </c>
      <c r="LT22" s="755"/>
      <c r="LU22" s="764"/>
      <c r="LV22" s="957">
        <f t="shared" si="228"/>
        <v>0</v>
      </c>
      <c r="LW22" s="769">
        <f>[1]Субсидия_факт!DP17</f>
        <v>0</v>
      </c>
      <c r="LX22" s="754">
        <f>[1]Субсидия_факт!CB17</f>
        <v>0</v>
      </c>
      <c r="LY22" s="764">
        <f>[1]Субсидия_факт!CH17</f>
        <v>0</v>
      </c>
      <c r="LZ22" s="957">
        <f t="shared" si="99"/>
        <v>0</v>
      </c>
      <c r="MA22" s="769"/>
      <c r="MB22" s="754"/>
      <c r="MC22" s="764"/>
      <c r="MD22" s="957">
        <f t="shared" si="229"/>
        <v>0</v>
      </c>
      <c r="ME22" s="769">
        <f>[1]Субсидия_факт!DR17</f>
        <v>0</v>
      </c>
      <c r="MF22" s="754">
        <f>[1]Субсидия_факт!CD17</f>
        <v>0</v>
      </c>
      <c r="MG22" s="764">
        <f>[1]Субсидия_факт!CJ17</f>
        <v>0</v>
      </c>
      <c r="MH22" s="957">
        <f t="shared" si="100"/>
        <v>0</v>
      </c>
      <c r="MI22" s="769"/>
      <c r="MJ22" s="754"/>
      <c r="MK22" s="762"/>
      <c r="ML22" s="783">
        <f t="shared" si="101"/>
        <v>0</v>
      </c>
      <c r="MM22" s="766">
        <f>'Проверочная  таблица'!ME22-MU22</f>
        <v>0</v>
      </c>
      <c r="MN22" s="766">
        <f>'Проверочная  таблица'!MF22-MV22</f>
        <v>0</v>
      </c>
      <c r="MO22" s="767">
        <f>'Проверочная  таблица'!MG22-MW22</f>
        <v>0</v>
      </c>
      <c r="MP22" s="783">
        <f t="shared" si="102"/>
        <v>0</v>
      </c>
      <c r="MQ22" s="766">
        <f>'Проверочная  таблица'!MI22-MY22</f>
        <v>0</v>
      </c>
      <c r="MR22" s="766">
        <f>'Проверочная  таблица'!MJ22-MZ22</f>
        <v>0</v>
      </c>
      <c r="MS22" s="767">
        <f>'Проверочная  таблица'!MK22-NA22</f>
        <v>0</v>
      </c>
      <c r="MT22" s="783">
        <f t="shared" si="103"/>
        <v>0</v>
      </c>
      <c r="MU22" s="754">
        <f>[1]Субсидия_факт!DT17</f>
        <v>0</v>
      </c>
      <c r="MV22" s="754">
        <f>[1]Субсидия_факт!CF17</f>
        <v>0</v>
      </c>
      <c r="MW22" s="764">
        <f>[1]Субсидия_факт!CL17</f>
        <v>0</v>
      </c>
      <c r="MX22" s="783">
        <f t="shared" si="104"/>
        <v>0</v>
      </c>
      <c r="MY22" s="754"/>
      <c r="MZ22" s="754"/>
      <c r="NA22" s="764"/>
      <c r="NB22" s="1224">
        <f t="shared" si="230"/>
        <v>129327.85</v>
      </c>
      <c r="NC22" s="754">
        <f>[1]Субсидия_факт!CN17</f>
        <v>0</v>
      </c>
      <c r="ND22" s="762">
        <f>[1]Субсидия_факт!CP17</f>
        <v>0</v>
      </c>
      <c r="NE22" s="766">
        <f>[1]Субсидия_факт!CR17</f>
        <v>0</v>
      </c>
      <c r="NF22" s="767">
        <f>[1]Субсидия_факт!CT17</f>
        <v>0</v>
      </c>
      <c r="NG22" s="755">
        <f>[1]Субсидия_факт!DV17</f>
        <v>0</v>
      </c>
      <c r="NH22" s="763">
        <f>[1]Субсидия_факт!FJ17</f>
        <v>33625.240000000005</v>
      </c>
      <c r="NI22" s="762">
        <f>[1]Субсидия_факт!FP17</f>
        <v>95702.61</v>
      </c>
      <c r="NJ22" s="910">
        <f t="shared" si="105"/>
        <v>129327.85</v>
      </c>
      <c r="NK22" s="754"/>
      <c r="NL22" s="764"/>
      <c r="NM22" s="770"/>
      <c r="NN22" s="794"/>
      <c r="NO22" s="754"/>
      <c r="NP22" s="754">
        <f t="shared" ref="NP22:NQ25" si="248">NH22</f>
        <v>33625.240000000005</v>
      </c>
      <c r="NQ22" s="764">
        <f t="shared" si="248"/>
        <v>95702.61</v>
      </c>
      <c r="NR22" s="910">
        <f t="shared" si="231"/>
        <v>45274.409999999989</v>
      </c>
      <c r="NS22" s="763">
        <f>[1]Субсидия_факт!FL17</f>
        <v>11771.349999999991</v>
      </c>
      <c r="NT22" s="762">
        <f>[1]Субсидия_факт!FR17</f>
        <v>33503.06</v>
      </c>
      <c r="NU22" s="910">
        <f t="shared" si="106"/>
        <v>45274.409999999989</v>
      </c>
      <c r="NV22" s="755">
        <f>NS22</f>
        <v>11771.349999999991</v>
      </c>
      <c r="NW22" s="764">
        <f>NT22</f>
        <v>33503.06</v>
      </c>
      <c r="NX22" s="782">
        <f t="shared" si="107"/>
        <v>0</v>
      </c>
      <c r="NY22" s="763">
        <f>'Проверочная  таблица'!NS22-OE22</f>
        <v>0</v>
      </c>
      <c r="NZ22" s="764">
        <f>'Проверочная  таблица'!NT22-OF22</f>
        <v>0</v>
      </c>
      <c r="OA22" s="782">
        <f t="shared" si="108"/>
        <v>0</v>
      </c>
      <c r="OB22" s="754">
        <f>'Проверочная  таблица'!NV22-OH22</f>
        <v>0</v>
      </c>
      <c r="OC22" s="771">
        <f>'Проверочная  таблица'!NW22-OI22</f>
        <v>0</v>
      </c>
      <c r="OD22" s="782">
        <f t="shared" si="232"/>
        <v>45274.409999999989</v>
      </c>
      <c r="OE22" s="763">
        <f>[1]Субсидия_факт!FN17</f>
        <v>11771.349999999991</v>
      </c>
      <c r="OF22" s="762">
        <f>[1]Субсидия_факт!FT17</f>
        <v>33503.06</v>
      </c>
      <c r="OG22" s="782">
        <f t="shared" si="109"/>
        <v>45274.409999999989</v>
      </c>
      <c r="OH22" s="754">
        <f>NV22</f>
        <v>11771.349999999991</v>
      </c>
      <c r="OI22" s="764">
        <f>NW22</f>
        <v>33503.06</v>
      </c>
      <c r="OJ22" s="919">
        <f t="shared" si="233"/>
        <v>0</v>
      </c>
      <c r="OK22" s="763">
        <f>[1]Субсидия_факт!AR17</f>
        <v>0</v>
      </c>
      <c r="OL22" s="762">
        <f>[1]Субсидия_факт!AT17</f>
        <v>0</v>
      </c>
      <c r="OM22" s="763">
        <f>[1]Субсидия_факт!AV17</f>
        <v>0</v>
      </c>
      <c r="ON22" s="957">
        <f t="shared" si="110"/>
        <v>0</v>
      </c>
      <c r="OO22" s="770"/>
      <c r="OP22" s="767"/>
      <c r="OQ22" s="770"/>
      <c r="OR22" s="1238">
        <f t="shared" si="111"/>
        <v>15600000</v>
      </c>
      <c r="OS22" s="763">
        <f>[1]Субсидия_факт!GD17</f>
        <v>15600000</v>
      </c>
      <c r="OT22" s="762">
        <f>[1]Субсидия_факт!GJ17</f>
        <v>0</v>
      </c>
      <c r="OU22" s="770">
        <f>[1]Субсидия_факт!GP17</f>
        <v>0</v>
      </c>
      <c r="OV22" s="1238">
        <f t="shared" si="112"/>
        <v>0</v>
      </c>
      <c r="OW22" s="755"/>
      <c r="OX22" s="764"/>
      <c r="OY22" s="754"/>
      <c r="OZ22" s="1217">
        <f t="shared" si="234"/>
        <v>16421052.84</v>
      </c>
      <c r="PA22" s="763">
        <f>[1]Субсидия_факт!GF17</f>
        <v>821052.83999999985</v>
      </c>
      <c r="PB22" s="762">
        <f>[1]Субсидия_факт!GL17</f>
        <v>15600000</v>
      </c>
      <c r="PC22" s="754">
        <f>[1]Субсидия_факт!GR17</f>
        <v>0</v>
      </c>
      <c r="PD22" s="1217">
        <f t="shared" si="113"/>
        <v>2013200.83</v>
      </c>
      <c r="PE22" s="754">
        <v>100660.07</v>
      </c>
      <c r="PF22" s="771">
        <v>1912540.76</v>
      </c>
      <c r="PG22" s="754">
        <v>0</v>
      </c>
      <c r="PH22" s="1219">
        <f t="shared" si="114"/>
        <v>0</v>
      </c>
      <c r="PI22" s="789">
        <f>'Проверочная  таблица'!PA22-PQ22</f>
        <v>0</v>
      </c>
      <c r="PJ22" s="767">
        <f>'Проверочная  таблица'!PB22-PR22</f>
        <v>0</v>
      </c>
      <c r="PK22" s="770">
        <f>'Проверочная  таблица'!PC22-PS22</f>
        <v>0</v>
      </c>
      <c r="PL22" s="1219">
        <f t="shared" si="235"/>
        <v>0</v>
      </c>
      <c r="PM22" s="755">
        <f>'Проверочная  таблица'!PE22-PU22</f>
        <v>0</v>
      </c>
      <c r="PN22" s="764">
        <f>'Проверочная  таблица'!PF22-PV22</f>
        <v>0</v>
      </c>
      <c r="PO22" s="754">
        <f>'Проверочная  таблица'!PG22-PW22</f>
        <v>0</v>
      </c>
      <c r="PP22" s="1219">
        <f t="shared" si="115"/>
        <v>16421052.84</v>
      </c>
      <c r="PQ22" s="763">
        <f>[1]Субсидия_факт!GH17</f>
        <v>821052.83999999985</v>
      </c>
      <c r="PR22" s="762">
        <f>[1]Субсидия_факт!GN17</f>
        <v>15600000</v>
      </c>
      <c r="PS22" s="763">
        <f>[1]Субсидия_факт!GT17</f>
        <v>0</v>
      </c>
      <c r="PT22" s="1219">
        <f t="shared" si="116"/>
        <v>2013200.83</v>
      </c>
      <c r="PU22" s="755">
        <f t="shared" si="193"/>
        <v>100660.07</v>
      </c>
      <c r="PV22" s="764">
        <f t="shared" si="194"/>
        <v>1912540.76</v>
      </c>
      <c r="PW22" s="763"/>
      <c r="PX22" s="910">
        <f t="shared" si="195"/>
        <v>0</v>
      </c>
      <c r="PY22" s="766">
        <f>[1]Субсидия_факт!JB17</f>
        <v>0</v>
      </c>
      <c r="PZ22" s="767">
        <f>[1]Субсидия_факт!JH17</f>
        <v>0</v>
      </c>
      <c r="QA22" s="766"/>
      <c r="QB22" s="767"/>
      <c r="QC22" s="910">
        <f t="shared" si="196"/>
        <v>0</v>
      </c>
      <c r="QD22" s="770"/>
      <c r="QE22" s="794"/>
      <c r="QF22" s="770"/>
      <c r="QG22" s="794"/>
      <c r="QH22" s="957">
        <f t="shared" si="117"/>
        <v>0</v>
      </c>
      <c r="QI22" s="766">
        <f>[1]Субсидия_факт!JD17</f>
        <v>0</v>
      </c>
      <c r="QJ22" s="767">
        <f>[1]Субсидия_факт!JJ17</f>
        <v>0</v>
      </c>
      <c r="QK22" s="1253">
        <f t="shared" si="118"/>
        <v>0</v>
      </c>
      <c r="QL22" s="770"/>
      <c r="QM22" s="794"/>
      <c r="QN22" s="923">
        <f t="shared" si="236"/>
        <v>0</v>
      </c>
      <c r="QO22" s="770">
        <f t="shared" si="119"/>
        <v>0</v>
      </c>
      <c r="QP22" s="767">
        <f t="shared" si="119"/>
        <v>0</v>
      </c>
      <c r="QQ22" s="1235">
        <f t="shared" si="120"/>
        <v>0</v>
      </c>
      <c r="QR22" s="766">
        <f t="shared" si="121"/>
        <v>0</v>
      </c>
      <c r="QS22" s="767">
        <f t="shared" si="121"/>
        <v>0</v>
      </c>
      <c r="QT22" s="1235">
        <f t="shared" si="122"/>
        <v>0</v>
      </c>
      <c r="QU22" s="766">
        <f>[1]Субсидия_факт!JF17</f>
        <v>0</v>
      </c>
      <c r="QV22" s="767">
        <f>[1]Субсидия_факт!JL17</f>
        <v>0</v>
      </c>
      <c r="QW22" s="923">
        <f t="shared" si="237"/>
        <v>0</v>
      </c>
      <c r="QX22" s="770"/>
      <c r="QY22" s="794"/>
      <c r="QZ22" s="801">
        <f t="shared" si="123"/>
        <v>0</v>
      </c>
      <c r="RA22" s="766">
        <f>[1]Субсидия_факт!CV17</f>
        <v>0</v>
      </c>
      <c r="RB22" s="767">
        <f>[1]Субсидия_факт!CX17</f>
        <v>0</v>
      </c>
      <c r="RC22" s="957">
        <f t="shared" si="124"/>
        <v>0</v>
      </c>
      <c r="RD22" s="766"/>
      <c r="RE22" s="767"/>
      <c r="RF22" s="801">
        <f t="shared" si="125"/>
        <v>0</v>
      </c>
      <c r="RG22" s="766">
        <f>[1]Субсидия_факт!CZ17</f>
        <v>0</v>
      </c>
      <c r="RH22" s="767">
        <f>[1]Субсидия_факт!DF17</f>
        <v>0</v>
      </c>
      <c r="RI22" s="957">
        <f t="shared" si="126"/>
        <v>0</v>
      </c>
      <c r="RJ22" s="766"/>
      <c r="RK22" s="767"/>
      <c r="RL22" s="801">
        <f t="shared" si="127"/>
        <v>0</v>
      </c>
      <c r="RM22" s="766">
        <f>[1]Субсидия_факт!DB17</f>
        <v>0</v>
      </c>
      <c r="RN22" s="767">
        <f>[1]Субсидия_факт!DH17</f>
        <v>0</v>
      </c>
      <c r="RO22" s="957">
        <f t="shared" si="128"/>
        <v>0</v>
      </c>
      <c r="RP22" s="766"/>
      <c r="RQ22" s="767"/>
      <c r="RR22" s="1235">
        <f t="shared" si="129"/>
        <v>0</v>
      </c>
      <c r="RS22" s="766">
        <f t="shared" si="130"/>
        <v>0</v>
      </c>
      <c r="RT22" s="767">
        <f t="shared" si="130"/>
        <v>0</v>
      </c>
      <c r="RU22" s="783">
        <f t="shared" si="131"/>
        <v>0</v>
      </c>
      <c r="RV22" s="766">
        <f t="shared" si="132"/>
        <v>0</v>
      </c>
      <c r="RW22" s="767">
        <f t="shared" si="132"/>
        <v>0</v>
      </c>
      <c r="RX22" s="801">
        <f t="shared" si="133"/>
        <v>0</v>
      </c>
      <c r="RY22" s="766">
        <f>[1]Субсидия_факт!DD17</f>
        <v>0</v>
      </c>
      <c r="RZ22" s="767">
        <f>[1]Субсидия_факт!DJ17</f>
        <v>0</v>
      </c>
      <c r="SA22" s="783">
        <f t="shared" si="134"/>
        <v>0</v>
      </c>
      <c r="SB22" s="766"/>
      <c r="SC22" s="767"/>
      <c r="SD22" s="801">
        <f t="shared" si="135"/>
        <v>0</v>
      </c>
      <c r="SE22" s="766">
        <f>[1]Субсидия_факт!DL17</f>
        <v>0</v>
      </c>
      <c r="SF22" s="767">
        <f>[1]Субсидия_факт!DN17</f>
        <v>0</v>
      </c>
      <c r="SG22" s="1253">
        <f t="shared" si="136"/>
        <v>0</v>
      </c>
      <c r="SH22" s="789"/>
      <c r="SI22" s="793"/>
      <c r="SJ22" s="957">
        <f t="shared" si="238"/>
        <v>101646756.76000001</v>
      </c>
      <c r="SK22" s="763">
        <f>[1]Субсидия_факт!BJ17</f>
        <v>0</v>
      </c>
      <c r="SL22" s="766">
        <f>[1]Субсидия_факт!BF17</f>
        <v>26428156.760000005</v>
      </c>
      <c r="SM22" s="793">
        <f>[1]Субсидия_факт!BH17</f>
        <v>75218600</v>
      </c>
      <c r="SN22" s="957">
        <f t="shared" si="137"/>
        <v>1287992.52</v>
      </c>
      <c r="SO22" s="795"/>
      <c r="SP22" s="789">
        <v>334878.06</v>
      </c>
      <c r="SQ22" s="793">
        <v>953114.46</v>
      </c>
      <c r="SR22" s="801">
        <f t="shared" si="138"/>
        <v>0</v>
      </c>
      <c r="SS22" s="766">
        <f>[1]Субсидия_факт!AD17</f>
        <v>0</v>
      </c>
      <c r="ST22" s="767">
        <f>[1]Субсидия_факт!AF17</f>
        <v>0</v>
      </c>
      <c r="SU22" s="957">
        <f t="shared" si="139"/>
        <v>0</v>
      </c>
      <c r="SV22" s="789"/>
      <c r="SW22" s="793"/>
      <c r="SX22" s="801">
        <f t="shared" si="239"/>
        <v>65248526.32</v>
      </c>
      <c r="SY22" s="766">
        <f>[1]Субсидия_факт!ID17</f>
        <v>0</v>
      </c>
      <c r="SZ22" s="767">
        <f>[1]Субсидия_факт!IJ17</f>
        <v>0</v>
      </c>
      <c r="TA22" s="789">
        <f>[1]Субсидия_факт!IP17</f>
        <v>0</v>
      </c>
      <c r="TB22" s="767">
        <f>[1]Субсидия_факт!IV17</f>
        <v>0</v>
      </c>
      <c r="TC22" s="1028">
        <f>[1]Субсидия_факт!JZ17</f>
        <v>3262426.3200000003</v>
      </c>
      <c r="TD22" s="793">
        <f>[1]Субсидия_факт!KF17</f>
        <v>61986100</v>
      </c>
      <c r="TE22" s="957">
        <f t="shared" si="140"/>
        <v>9966121.6500000004</v>
      </c>
      <c r="TF22" s="1162"/>
      <c r="TG22" s="794"/>
      <c r="TH22" s="1162"/>
      <c r="TI22" s="794"/>
      <c r="TJ22" s="1028">
        <v>498306.08</v>
      </c>
      <c r="TK22" s="793">
        <v>9467815.5700000003</v>
      </c>
      <c r="TL22" s="846">
        <f t="shared" si="141"/>
        <v>0</v>
      </c>
      <c r="TM22" s="830">
        <f>[1]Субсидия_факт!IF17</f>
        <v>0</v>
      </c>
      <c r="TN22" s="831">
        <f>[1]Субсидия_факт!IL17</f>
        <v>0</v>
      </c>
      <c r="TO22" s="789">
        <f>[1]Субсидия_факт!IR17</f>
        <v>0</v>
      </c>
      <c r="TP22" s="767">
        <f>[1]Субсидия_факт!IX17</f>
        <v>0</v>
      </c>
      <c r="TQ22" s="789">
        <f>[1]Субсидия_факт!KB17</f>
        <v>0</v>
      </c>
      <c r="TR22" s="767">
        <f>[1]Субсидия_факт!KH17</f>
        <v>0</v>
      </c>
      <c r="TS22" s="957">
        <f t="shared" si="142"/>
        <v>0</v>
      </c>
      <c r="TT22" s="770"/>
      <c r="TU22" s="794"/>
      <c r="TV22" s="1028"/>
      <c r="TW22" s="794"/>
      <c r="TX22" s="770"/>
      <c r="TY22" s="794"/>
      <c r="TZ22" s="783">
        <f t="shared" si="143"/>
        <v>0</v>
      </c>
      <c r="UA22" s="766">
        <f t="shared" si="144"/>
        <v>0</v>
      </c>
      <c r="UB22" s="767">
        <f t="shared" si="144"/>
        <v>0</v>
      </c>
      <c r="UC22" s="766">
        <f t="shared" si="144"/>
        <v>0</v>
      </c>
      <c r="UD22" s="767">
        <f t="shared" si="144"/>
        <v>0</v>
      </c>
      <c r="UE22" s="789">
        <f t="shared" si="144"/>
        <v>0</v>
      </c>
      <c r="UF22" s="767">
        <f t="shared" si="144"/>
        <v>0</v>
      </c>
      <c r="UG22" s="783">
        <f t="shared" si="145"/>
        <v>0</v>
      </c>
      <c r="UH22" s="766">
        <f t="shared" si="146"/>
        <v>0</v>
      </c>
      <c r="UI22" s="767">
        <f t="shared" si="146"/>
        <v>0</v>
      </c>
      <c r="UJ22" s="766">
        <f t="shared" si="146"/>
        <v>0</v>
      </c>
      <c r="UK22" s="767">
        <f t="shared" si="146"/>
        <v>0</v>
      </c>
      <c r="UL22" s="789">
        <f t="shared" si="146"/>
        <v>0</v>
      </c>
      <c r="UM22" s="767">
        <f t="shared" si="146"/>
        <v>0</v>
      </c>
      <c r="UN22" s="783">
        <f t="shared" si="147"/>
        <v>0</v>
      </c>
      <c r="UO22" s="766">
        <f>[1]Субсидия_факт!IH17</f>
        <v>0</v>
      </c>
      <c r="UP22" s="767">
        <f>[1]Субсидия_факт!IN17</f>
        <v>0</v>
      </c>
      <c r="UQ22" s="789">
        <f>[1]Субсидия_факт!IT17</f>
        <v>0</v>
      </c>
      <c r="UR22" s="767">
        <f>[1]Субсидия_факт!IZ17</f>
        <v>0</v>
      </c>
      <c r="US22" s="789">
        <f>[1]Субсидия_факт!KD17</f>
        <v>0</v>
      </c>
      <c r="UT22" s="767">
        <f>[1]Субсидия_факт!KJ17</f>
        <v>0</v>
      </c>
      <c r="UU22" s="783">
        <f t="shared" si="148"/>
        <v>0</v>
      </c>
      <c r="UV22" s="1028"/>
      <c r="UW22" s="794"/>
      <c r="UX22" s="1028"/>
      <c r="UY22" s="794"/>
      <c r="UZ22" s="1028"/>
      <c r="VA22" s="794"/>
      <c r="VB22" s="957">
        <f>'Прочая  субсидия_МР  и  ГО'!B17</f>
        <v>202622321.28</v>
      </c>
      <c r="VC22" s="957">
        <f>'Прочая  субсидия_МР  и  ГО'!C17</f>
        <v>60411558.060000002</v>
      </c>
      <c r="VD22" s="1234">
        <f>'Прочая  субсидия_БП'!B17</f>
        <v>7895821.5999999978</v>
      </c>
      <c r="VE22" s="801">
        <f>'Прочая  субсидия_БП'!C17</f>
        <v>98109.909999999989</v>
      </c>
      <c r="VF22" s="1255">
        <f>'Прочая  субсидия_БП'!D17</f>
        <v>2021722.2399999998</v>
      </c>
      <c r="VG22" s="1248">
        <f>'Прочая  субсидия_БП'!E17</f>
        <v>76580.319999999992</v>
      </c>
      <c r="VH22" s="1249">
        <f>'Прочая  субсидия_БП'!F17</f>
        <v>5874099.3599999975</v>
      </c>
      <c r="VI22" s="1255">
        <f>'Прочая  субсидия_БП'!G17</f>
        <v>21529.59</v>
      </c>
      <c r="VJ22" s="801">
        <f t="shared" si="149"/>
        <v>396380744.69999999</v>
      </c>
      <c r="VK22" s="770">
        <f>'Проверочная  таблица'!WM22+'Проверочная  таблица'!VP22+'Проверочная  таблица'!VR22+WG22</f>
        <v>384033150.18000001</v>
      </c>
      <c r="VL22" s="795">
        <f>'Проверочная  таблица'!WN22+'Проверочная  таблица'!VV22+'Проверочная  таблица'!WB22+'Проверочная  таблица'!VX22+'Проверочная  таблица'!VZ22+WD22+WH22+VT22</f>
        <v>12347594.52</v>
      </c>
      <c r="VM22" s="957">
        <f t="shared" si="150"/>
        <v>228732690.16</v>
      </c>
      <c r="VN22" s="770">
        <f>'Проверочная  таблица'!WP22+'Проверочная  таблица'!VQ22+'Проверочная  таблица'!VS22+WJ22</f>
        <v>221150251.35999998</v>
      </c>
      <c r="VO22" s="795">
        <f>'Проверочная  таблица'!WQ22+'Проверочная  таблица'!VW22+'Проверочная  таблица'!WC22+'Проверочная  таблица'!VY22+'Проверочная  таблица'!WA22+WE22+WK22+VU22</f>
        <v>7582438.7999999998</v>
      </c>
      <c r="VP22" s="1253">
        <f>'Субвенция  на  полномочия'!B17</f>
        <v>365054633.56</v>
      </c>
      <c r="VQ22" s="1234">
        <f>'Субвенция  на  полномочия'!C17</f>
        <v>211337804.72999999</v>
      </c>
      <c r="VR22" s="790">
        <f>[1]Субвенция_факт!M16*1000</f>
        <v>13206288</v>
      </c>
      <c r="VS22" s="796">
        <v>6436600</v>
      </c>
      <c r="VT22" s="790">
        <f>[1]Субвенция_факт!AE16*1000</f>
        <v>0</v>
      </c>
      <c r="VU22" s="796"/>
      <c r="VV22" s="790">
        <f>[1]Субвенция_факт!AF16*1000</f>
        <v>2705300</v>
      </c>
      <c r="VW22" s="796">
        <f>ВУС!E84</f>
        <v>1039413.8</v>
      </c>
      <c r="VX22" s="1256">
        <f>[1]Субвенция_факт!AG16*1000</f>
        <v>0</v>
      </c>
      <c r="VY22" s="797"/>
      <c r="VZ22" s="792">
        <f>[1]Субвенция_факт!E16*1000</f>
        <v>0</v>
      </c>
      <c r="WA22" s="797"/>
      <c r="WB22" s="792">
        <f>[1]Субвенция_факт!F16*1000</f>
        <v>0</v>
      </c>
      <c r="WC22" s="797"/>
      <c r="WD22" s="791">
        <f>[1]Субвенция_факт!G16*1000</f>
        <v>0</v>
      </c>
      <c r="WE22" s="796"/>
      <c r="WF22" s="801">
        <f t="shared" si="151"/>
        <v>12084181.789999999</v>
      </c>
      <c r="WG22" s="766">
        <f>[1]Субвенция_факт!P16*1000</f>
        <v>3141887.2699999996</v>
      </c>
      <c r="WH22" s="767">
        <f>[1]Субвенция_факт!Q16*1000</f>
        <v>8942294.5199999996</v>
      </c>
      <c r="WI22" s="957">
        <f t="shared" si="152"/>
        <v>8137871.6299999999</v>
      </c>
      <c r="WJ22" s="770">
        <v>2115846.63</v>
      </c>
      <c r="WK22" s="798">
        <v>6022025</v>
      </c>
      <c r="WL22" s="957">
        <f t="shared" si="153"/>
        <v>3330341.35</v>
      </c>
      <c r="WM22" s="799">
        <f>[1]Субвенция_факт!X16*1000</f>
        <v>2630341.35</v>
      </c>
      <c r="WN22" s="800">
        <f>[1]Субвенция_факт!W16*1000</f>
        <v>700000</v>
      </c>
      <c r="WO22" s="957">
        <f t="shared" si="154"/>
        <v>1781000</v>
      </c>
      <c r="WP22" s="770">
        <v>1260000</v>
      </c>
      <c r="WQ22" s="798">
        <v>521000</v>
      </c>
      <c r="WR22" s="957">
        <f t="shared" si="240"/>
        <v>119478040.53</v>
      </c>
      <c r="WS22" s="957">
        <f t="shared" si="241"/>
        <v>37759168.170000002</v>
      </c>
      <c r="WT22" s="1253">
        <f t="shared" si="155"/>
        <v>0</v>
      </c>
      <c r="WU22" s="799">
        <f>'[1]Иные межбюджетные трансферты'!AM17</f>
        <v>0</v>
      </c>
      <c r="WV22" s="800">
        <f>'[1]Иные межбюджетные трансферты'!AO17</f>
        <v>0</v>
      </c>
      <c r="WW22" s="1253">
        <f t="shared" si="156"/>
        <v>0</v>
      </c>
      <c r="WX22" s="799"/>
      <c r="WY22" s="800"/>
      <c r="WZ22" s="957">
        <f t="shared" si="157"/>
        <v>1617714.8299999998</v>
      </c>
      <c r="XA22" s="799">
        <f>'[1]Иные межбюджетные трансферты'!AI17</f>
        <v>80885.740000000005</v>
      </c>
      <c r="XB22" s="800">
        <f>'[1]Иные межбюджетные трансферты'!AK17</f>
        <v>1536829.0899999999</v>
      </c>
      <c r="XC22" s="957">
        <f t="shared" si="158"/>
        <v>990837.17999999993</v>
      </c>
      <c r="XD22" s="799">
        <v>49541.86</v>
      </c>
      <c r="XE22" s="800">
        <v>941295.32</v>
      </c>
      <c r="XF22" s="957">
        <f t="shared" si="159"/>
        <v>13295934</v>
      </c>
      <c r="XG22" s="799">
        <f>'[1]Иные межбюджетные трансферты'!I17</f>
        <v>0</v>
      </c>
      <c r="XH22" s="800">
        <f>'[1]Иные межбюджетные трансферты'!K17</f>
        <v>13295934</v>
      </c>
      <c r="XI22" s="957">
        <f t="shared" si="242"/>
        <v>13295934</v>
      </c>
      <c r="XJ22" s="786"/>
      <c r="XK22" s="800">
        <v>13295934</v>
      </c>
      <c r="XL22" s="957">
        <f t="shared" si="161"/>
        <v>0</v>
      </c>
      <c r="XM22" s="789"/>
      <c r="XN22" s="957">
        <f t="shared" si="162"/>
        <v>0</v>
      </c>
      <c r="XO22" s="789"/>
      <c r="XP22" s="801">
        <f t="shared" si="163"/>
        <v>27167689.879999999</v>
      </c>
      <c r="XQ22" s="766">
        <f>'[1]Иные межбюджетные трансферты'!M17</f>
        <v>27167689.879999999</v>
      </c>
      <c r="XR22" s="957">
        <f t="shared" si="164"/>
        <v>4203804.1399999997</v>
      </c>
      <c r="XS22" s="770">
        <v>4203804.1399999997</v>
      </c>
      <c r="XT22" s="1252">
        <f t="shared" si="165"/>
        <v>0</v>
      </c>
      <c r="XU22" s="783">
        <f t="shared" si="166"/>
        <v>0</v>
      </c>
      <c r="XV22" s="1252">
        <f t="shared" si="167"/>
        <v>27167689.879999999</v>
      </c>
      <c r="XW22" s="783">
        <f t="shared" si="168"/>
        <v>4203804.1399999997</v>
      </c>
      <c r="XX22" s="957">
        <f t="shared" si="243"/>
        <v>67980935.950000003</v>
      </c>
      <c r="XY22" s="787">
        <f>'[1]Иные межбюджетные трансферты'!E17</f>
        <v>0</v>
      </c>
      <c r="XZ22" s="799">
        <f>'[1]Иные межбюджетные трансферты'!G17</f>
        <v>0</v>
      </c>
      <c r="YA22" s="786">
        <f>'[1]Иные межбюджетные трансферты'!Q17</f>
        <v>0</v>
      </c>
      <c r="YB22" s="787">
        <f>'[1]Иные межбюджетные трансферты'!W17</f>
        <v>0</v>
      </c>
      <c r="YC22" s="786">
        <f>'[1]Иные межбюджетные трансферты'!Y17</f>
        <v>10950000</v>
      </c>
      <c r="YD22" s="1116">
        <f>'[1]Иные межбюджетные трансферты'!AE17</f>
        <v>54357337.200000003</v>
      </c>
      <c r="YE22" s="786">
        <f>'[1]Иные межбюджетные трансферты'!AQ17</f>
        <v>0</v>
      </c>
      <c r="YF22" s="766">
        <f>'[1]Иные межбюджетные трансферты'!AW17</f>
        <v>0</v>
      </c>
      <c r="YG22" s="786">
        <f>'[1]Иные межбюджетные трансферты'!AY17</f>
        <v>0</v>
      </c>
      <c r="YH22" s="1116">
        <f>'[1]Иные межбюджетные трансферты'!BA17</f>
        <v>2673598.75</v>
      </c>
      <c r="YI22" s="957">
        <f t="shared" si="244"/>
        <v>19268592.850000001</v>
      </c>
      <c r="YJ22" s="786"/>
      <c r="YK22" s="786"/>
      <c r="YL22" s="755"/>
      <c r="YM22" s="786"/>
      <c r="YN22" s="751">
        <f t="shared" si="245"/>
        <v>10950000</v>
      </c>
      <c r="YO22" s="751">
        <v>6987030.5700000003</v>
      </c>
      <c r="YP22" s="751"/>
      <c r="YQ22" s="751"/>
      <c r="YR22" s="751"/>
      <c r="YS22" s="751">
        <v>1331562.28</v>
      </c>
      <c r="YT22" s="957">
        <f t="shared" si="169"/>
        <v>9415765.8699999992</v>
      </c>
      <c r="YU22" s="799">
        <f>'[1]Иные межбюджетные трансферты'!S17</f>
        <v>0</v>
      </c>
      <c r="YV22" s="786">
        <f>'[1]Иные межбюджетные трансферты'!AA17</f>
        <v>0</v>
      </c>
      <c r="YW22" s="1116">
        <f>'[1]Иные межбюджетные трансферты'!AG17</f>
        <v>0</v>
      </c>
      <c r="YX22" s="787">
        <f>'[1]Иные межбюджетные трансферты'!AS17</f>
        <v>3145111.6</v>
      </c>
      <c r="YY22" s="751">
        <f>'[1]Иные межбюджетные трансферты'!BC17</f>
        <v>6270654.2699999996</v>
      </c>
      <c r="YZ22" s="957">
        <f t="shared" si="170"/>
        <v>0</v>
      </c>
      <c r="ZA22" s="769"/>
      <c r="ZB22" s="769">
        <f t="shared" si="246"/>
        <v>0</v>
      </c>
      <c r="ZC22" s="769"/>
      <c r="ZD22" s="751"/>
      <c r="ZE22" s="751"/>
      <c r="ZF22" s="783">
        <f t="shared" si="171"/>
        <v>8685656.4699999988</v>
      </c>
      <c r="ZG22" s="763">
        <f>'Проверочная  таблица'!YU22-ZS22</f>
        <v>0</v>
      </c>
      <c r="ZH22" s="763">
        <f>'Проверочная  таблица'!YV22-ZT22</f>
        <v>0</v>
      </c>
      <c r="ZI22" s="763">
        <f>'Проверочная  таблица'!YW22-ZU22</f>
        <v>0</v>
      </c>
      <c r="ZJ22" s="763">
        <f>'Проверочная  таблица'!YX22-ZV22</f>
        <v>3145111.6</v>
      </c>
      <c r="ZK22" s="763">
        <f>'Проверочная  таблица'!YY22-ZW22</f>
        <v>5540544.8699999992</v>
      </c>
      <c r="ZL22" s="783">
        <f t="shared" si="172"/>
        <v>0</v>
      </c>
      <c r="ZM22" s="763">
        <f>'Проверочная  таблица'!ZA22-ZY22</f>
        <v>0</v>
      </c>
      <c r="ZN22" s="763">
        <f>'Проверочная  таблица'!ZB22-ZZ22</f>
        <v>0</v>
      </c>
      <c r="ZO22" s="763">
        <f>'Проверочная  таблица'!ZC22-AAA22</f>
        <v>0</v>
      </c>
      <c r="ZP22" s="763">
        <f>'Проверочная  таблица'!ZD22-AAB22</f>
        <v>0</v>
      </c>
      <c r="ZQ22" s="763">
        <f>'Проверочная  таблица'!ZE22-AAC22</f>
        <v>0</v>
      </c>
      <c r="ZR22" s="783">
        <f t="shared" si="173"/>
        <v>730109.4</v>
      </c>
      <c r="ZS22" s="799">
        <f>'[1]Иные межбюджетные трансферты'!U17</f>
        <v>0</v>
      </c>
      <c r="ZT22" s="786">
        <f>'[1]Иные межбюджетные трансферты'!AC17</f>
        <v>0</v>
      </c>
      <c r="ZU22" s="787"/>
      <c r="ZV22" s="799">
        <f>'[1]Иные межбюджетные трансферты'!AU17</f>
        <v>0</v>
      </c>
      <c r="ZW22" s="751">
        <f>'[1]Иные межбюджетные трансферты'!$BE$17</f>
        <v>730109.4</v>
      </c>
      <c r="ZX22" s="783">
        <f t="shared" si="174"/>
        <v>0</v>
      </c>
      <c r="ZY22" s="769"/>
      <c r="ZZ22" s="769">
        <f t="shared" si="247"/>
        <v>0</v>
      </c>
      <c r="AAA22" s="769"/>
      <c r="AAB22" s="751"/>
      <c r="AAC22" s="751"/>
      <c r="AAD22" s="957">
        <f>AAF22+'Проверочная  таблица'!AAN22+AAJ22+'Проверочная  таблица'!AAR22+AAL22+'Проверочная  таблица'!AAT22</f>
        <v>0</v>
      </c>
      <c r="AAE22" s="957">
        <f>AAG22+'Проверочная  таблица'!AAO22+AAK22+'Проверочная  таблица'!AAS22+AAM22+'Проверочная  таблица'!AAU22</f>
        <v>0</v>
      </c>
      <c r="AAF22" s="801"/>
      <c r="AAG22" s="801"/>
      <c r="AAH22" s="801"/>
      <c r="AAI22" s="801"/>
      <c r="AAJ22" s="1235">
        <f t="shared" si="175"/>
        <v>0</v>
      </c>
      <c r="AAK22" s="783">
        <f t="shared" si="175"/>
        <v>0</v>
      </c>
      <c r="AAL22" s="802"/>
      <c r="AAM22" s="783"/>
      <c r="AAN22" s="801"/>
      <c r="AAO22" s="801"/>
      <c r="AAP22" s="801"/>
      <c r="AAQ22" s="801"/>
      <c r="AAR22" s="1235">
        <f t="shared" si="176"/>
        <v>0</v>
      </c>
      <c r="AAS22" s="783">
        <f t="shared" si="176"/>
        <v>0</v>
      </c>
      <c r="AAT22" s="783"/>
      <c r="AAU22" s="783"/>
      <c r="AAV22" s="1246">
        <f>'Проверочная  таблица'!AAN22+'Проверочная  таблица'!AAP22</f>
        <v>0</v>
      </c>
      <c r="AAW22" s="1246">
        <f>'Проверочная  таблица'!AAO22+'Проверочная  таблица'!AAQ22</f>
        <v>0</v>
      </c>
    </row>
    <row r="23" spans="1:725" ht="24" customHeight="1" x14ac:dyDescent="0.25">
      <c r="A23" s="784" t="s">
        <v>1311</v>
      </c>
      <c r="B23" s="801">
        <f>D23+AN23+'Проверочная  таблица'!VJ23+'Проверочная  таблица'!WR23</f>
        <v>467764009.56999999</v>
      </c>
      <c r="C23" s="957">
        <f>E23+'Проверочная  таблица'!VM23+AO23+'Проверочная  таблица'!WS23</f>
        <v>181387808.92000002</v>
      </c>
      <c r="D23" s="1234">
        <f t="shared" si="0"/>
        <v>51920207.189999998</v>
      </c>
      <c r="E23" s="801">
        <f t="shared" si="1"/>
        <v>25338540</v>
      </c>
      <c r="F23" s="1238">
        <f>'[1]Дотация  из  ОБ_факт'!M17</f>
        <v>17781373</v>
      </c>
      <c r="G23" s="1247">
        <v>8890800</v>
      </c>
      <c r="H23" s="1238">
        <f>'[1]Дотация  из  ОБ_факт'!G17</f>
        <v>8135482.1899999995</v>
      </c>
      <c r="I23" s="1247">
        <v>4067340</v>
      </c>
      <c r="J23" s="1248">
        <f t="shared" si="2"/>
        <v>8135482.1899999995</v>
      </c>
      <c r="K23" s="1249">
        <f t="shared" si="2"/>
        <v>4067340</v>
      </c>
      <c r="L23" s="1248">
        <f>'[1]Дотация  из  ОБ_факт'!K17</f>
        <v>0</v>
      </c>
      <c r="M23" s="785"/>
      <c r="N23" s="1238">
        <f>'[1]Дотация  из  ОБ_факт'!Q17</f>
        <v>0</v>
      </c>
      <c r="O23" s="1247"/>
      <c r="P23" s="1238">
        <f>'[1]Дотация  из  ОБ_факт'!S17</f>
        <v>24760227</v>
      </c>
      <c r="Q23" s="1247">
        <v>12380400</v>
      </c>
      <c r="R23" s="1248">
        <f t="shared" si="3"/>
        <v>24760227</v>
      </c>
      <c r="S23" s="1249">
        <f t="shared" si="3"/>
        <v>12380400</v>
      </c>
      <c r="T23" s="1248">
        <f>'[1]Дотация  из  ОБ_факт'!W17</f>
        <v>0</v>
      </c>
      <c r="U23" s="785"/>
      <c r="V23" s="790">
        <f t="shared" si="4"/>
        <v>0</v>
      </c>
      <c r="W23" s="1250">
        <f>'[1]Дотация  из  ОБ_факт'!AA17</f>
        <v>0</v>
      </c>
      <c r="X23" s="1251">
        <f>'[1]Дотация  из  ОБ_факт'!AC17</f>
        <v>0</v>
      </c>
      <c r="Y23" s="1251">
        <f>'[1]Дотация  из  ОБ_факт'!AG17</f>
        <v>0</v>
      </c>
      <c r="Z23" s="791">
        <f t="shared" si="5"/>
        <v>0</v>
      </c>
      <c r="AA23" s="751">
        <f t="shared" si="180"/>
        <v>0</v>
      </c>
      <c r="AB23" s="751">
        <f t="shared" si="180"/>
        <v>0</v>
      </c>
      <c r="AC23" s="786"/>
      <c r="AD23" s="790">
        <f t="shared" si="6"/>
        <v>1243125</v>
      </c>
      <c r="AE23" s="1250">
        <f>'[1]Дотация  из  ОБ_факт'!Y17</f>
        <v>1243125</v>
      </c>
      <c r="AF23" s="1251">
        <f>'[1]Дотация  из  ОБ_факт'!AE17</f>
        <v>0</v>
      </c>
      <c r="AG23" s="790">
        <f t="shared" si="7"/>
        <v>0</v>
      </c>
      <c r="AH23" s="787"/>
      <c r="AI23" s="786"/>
      <c r="AJ23" s="1248">
        <f t="shared" si="8"/>
        <v>1243125</v>
      </c>
      <c r="AK23" s="1249">
        <f t="shared" si="9"/>
        <v>0</v>
      </c>
      <c r="AL23" s="1248">
        <f>'[1]Дотация  из  ОБ_факт'!AE17</f>
        <v>0</v>
      </c>
      <c r="AM23" s="788"/>
      <c r="AN23" s="919">
        <f>'Проверочная  таблица'!VB23+'Проверочная  таблица'!VD23+BT23+BV23+CH23+CJ23+BH23+BL23+'Проверочная  таблица'!NB23+'Проверочная  таблица'!NR23+'Проверочная  таблица'!EB23+'Проверочная  таблица'!OJ23+DT23+'Проверочная  таблица'!JR23+'Проверочная  таблица'!JX23+'Проверочная  таблица'!OR23+'Проверочная  таблица'!OZ23+JL23+AP23+AV23+FB23+FH23+CV23+SX23+EH23+TL23+QH23+EN23+EV23+LV23+MD23+SR23+GV23+SD23+RF23+KP23+KZ23+RL23+SJ23+CP23+QZ23+HL23+GF23+HR23+HX23+FZ23+DJ23+PX23+CB23+IP23+JF23+HD23+GL23+IV23</f>
        <v>114736884.3</v>
      </c>
      <c r="AO23" s="920">
        <f>'Проверочная  таблица'!VC23+'Проверочная  таблица'!VE23+BU23+BW23+CI23+CK23+BJ23+BN23+'Проверочная  таблица'!NJ23+'Проверочная  таблица'!NU23+'Проверочная  таблица'!EE23+'Проверочная  таблица'!ON23+DX23+'Проверочная  таблица'!JU23+'Проверочная  таблица'!KA23+'Проверочная  таблица'!OV23+'Проверочная  таблица'!PD23+JO23+AS23+AX23+FE23+FK23+DC23+TE23+EK23+TS23+QK23+ER23+EY23+LZ23+MH23+SU23+GZ23+SG23+RI23+KU23+LE23+RO23+SN23+CS23+RC23+HO23+GI23+HU23+IA23+GC23+DM23+QC23+CE23+IS23+JI23+HF23+GO23+IY23</f>
        <v>11045152.680000002</v>
      </c>
      <c r="AP23" s="957">
        <f t="shared" si="10"/>
        <v>19108300</v>
      </c>
      <c r="AQ23" s="789">
        <f>[1]Субсидия_факт!HV19</f>
        <v>19108300</v>
      </c>
      <c r="AR23" s="770">
        <f>[1]Субсидия_факт!MR19</f>
        <v>0</v>
      </c>
      <c r="AS23" s="957">
        <f t="shared" si="11"/>
        <v>151420.42000000001</v>
      </c>
      <c r="AT23" s="770">
        <v>151420.42000000001</v>
      </c>
      <c r="AU23" s="789"/>
      <c r="AV23" s="910">
        <f t="shared" si="12"/>
        <v>0</v>
      </c>
      <c r="AW23" s="770">
        <f>[1]Субсидия_факт!MV19</f>
        <v>0</v>
      </c>
      <c r="AX23" s="1224">
        <f t="shared" si="13"/>
        <v>0</v>
      </c>
      <c r="AY23" s="770"/>
      <c r="AZ23" s="1225">
        <f t="shared" si="14"/>
        <v>0</v>
      </c>
      <c r="BA23" s="770">
        <f t="shared" si="15"/>
        <v>0</v>
      </c>
      <c r="BB23" s="783">
        <f t="shared" si="16"/>
        <v>0</v>
      </c>
      <c r="BC23" s="789">
        <f t="shared" si="17"/>
        <v>0</v>
      </c>
      <c r="BD23" s="782">
        <f t="shared" si="18"/>
        <v>0</v>
      </c>
      <c r="BE23" s="770">
        <f>[1]Субсидия_факт!MX19</f>
        <v>0</v>
      </c>
      <c r="BF23" s="802">
        <f t="shared" si="19"/>
        <v>0</v>
      </c>
      <c r="BG23" s="770"/>
      <c r="BH23" s="801">
        <f t="shared" si="20"/>
        <v>0</v>
      </c>
      <c r="BI23" s="770">
        <f>[1]Субсидия_факт!KZ19</f>
        <v>0</v>
      </c>
      <c r="BJ23" s="957">
        <f t="shared" si="21"/>
        <v>0</v>
      </c>
      <c r="BK23" s="770"/>
      <c r="BL23" s="801">
        <f t="shared" si="22"/>
        <v>0</v>
      </c>
      <c r="BM23" s="770">
        <f>[1]Субсидия_факт!LB19</f>
        <v>0</v>
      </c>
      <c r="BN23" s="957">
        <f t="shared" si="23"/>
        <v>0</v>
      </c>
      <c r="BO23" s="770"/>
      <c r="BP23" s="1235">
        <f t="shared" si="24"/>
        <v>0</v>
      </c>
      <c r="BQ23" s="783">
        <f t="shared" si="25"/>
        <v>0</v>
      </c>
      <c r="BR23" s="1252">
        <f t="shared" si="26"/>
        <v>0</v>
      </c>
      <c r="BS23" s="783">
        <f t="shared" si="27"/>
        <v>0</v>
      </c>
      <c r="BT23" s="801">
        <f>[1]Субсидия_факт!GV19</f>
        <v>0</v>
      </c>
      <c r="BU23" s="790"/>
      <c r="BV23" s="1253">
        <f>[1]Субсидия_факт!GX19</f>
        <v>0</v>
      </c>
      <c r="BW23" s="791"/>
      <c r="BX23" s="1252">
        <f t="shared" si="28"/>
        <v>0</v>
      </c>
      <c r="BY23" s="1235">
        <f t="shared" si="28"/>
        <v>0</v>
      </c>
      <c r="BZ23" s="783">
        <f>[1]Субсидия_факт!GZ19</f>
        <v>0</v>
      </c>
      <c r="CA23" s="785"/>
      <c r="CB23" s="801">
        <f t="shared" si="29"/>
        <v>19108300</v>
      </c>
      <c r="CC23" s="766">
        <f>[1]Субсидия_факт!HL19</f>
        <v>19108300</v>
      </c>
      <c r="CD23" s="770">
        <f>[1]Субсидия_факт!HN19</f>
        <v>0</v>
      </c>
      <c r="CE23" s="957">
        <f t="shared" si="30"/>
        <v>0</v>
      </c>
      <c r="CF23" s="770"/>
      <c r="CG23" s="770"/>
      <c r="CH23" s="957">
        <f>[1]Субсидия_факт!HB19</f>
        <v>0</v>
      </c>
      <c r="CI23" s="792"/>
      <c r="CJ23" s="957">
        <f>[1]Субсидия_факт!HD19</f>
        <v>0</v>
      </c>
      <c r="CK23" s="805"/>
      <c r="CL23" s="1226">
        <f t="shared" si="31"/>
        <v>0</v>
      </c>
      <c r="CM23" s="782">
        <f t="shared" si="31"/>
        <v>0</v>
      </c>
      <c r="CN23" s="1225">
        <f>[1]Субсидия_факт!HF19</f>
        <v>0</v>
      </c>
      <c r="CO23" s="753"/>
      <c r="CP23" s="801">
        <f t="shared" si="32"/>
        <v>0</v>
      </c>
      <c r="CQ23" s="766">
        <f>[1]Субсидия_факт!HP19</f>
        <v>0</v>
      </c>
      <c r="CR23" s="770">
        <f>[1]Субсидия_факт!HR19</f>
        <v>0</v>
      </c>
      <c r="CS23" s="957">
        <f t="shared" si="33"/>
        <v>0</v>
      </c>
      <c r="CT23" s="770"/>
      <c r="CU23" s="770"/>
      <c r="CV23" s="910">
        <f t="shared" si="34"/>
        <v>0</v>
      </c>
      <c r="CW23" s="763">
        <f>[1]Субсидия_факт!LR19</f>
        <v>0</v>
      </c>
      <c r="CX23" s="762">
        <f>[1]Субсидия_факт!LT19</f>
        <v>0</v>
      </c>
      <c r="CY23" s="754">
        <f>[1]Субсидия_факт!LV19</f>
        <v>0</v>
      </c>
      <c r="CZ23" s="762">
        <f>[1]Субсидия_факт!MB19</f>
        <v>0</v>
      </c>
      <c r="DA23" s="754">
        <f>[1]Субсидия_факт!MH19</f>
        <v>0</v>
      </c>
      <c r="DB23" s="762">
        <f>[1]Субсидия_факт!MJ19</f>
        <v>0</v>
      </c>
      <c r="DC23" s="910">
        <f t="shared" si="35"/>
        <v>0</v>
      </c>
      <c r="DD23" s="755"/>
      <c r="DE23" s="762"/>
      <c r="DF23" s="754"/>
      <c r="DG23" s="762"/>
      <c r="DH23" s="754"/>
      <c r="DI23" s="762"/>
      <c r="DJ23" s="920">
        <f t="shared" si="205"/>
        <v>0</v>
      </c>
      <c r="DK23" s="763">
        <f>[1]Субсидия_факт!LX19</f>
        <v>0</v>
      </c>
      <c r="DL23" s="762">
        <f>[1]Субсидия_факт!MD19</f>
        <v>0</v>
      </c>
      <c r="DM23" s="910">
        <f t="shared" si="37"/>
        <v>0</v>
      </c>
      <c r="DN23" s="763"/>
      <c r="DO23" s="764"/>
      <c r="DP23" s="1226">
        <f t="shared" si="206"/>
        <v>0</v>
      </c>
      <c r="DQ23" s="782">
        <f t="shared" si="207"/>
        <v>0</v>
      </c>
      <c r="DR23" s="1225">
        <f t="shared" si="208"/>
        <v>0</v>
      </c>
      <c r="DS23" s="753">
        <f t="shared" si="209"/>
        <v>0</v>
      </c>
      <c r="DT23" s="957">
        <f t="shared" si="210"/>
        <v>0</v>
      </c>
      <c r="DU23" s="789">
        <f>[1]Субсидия_факт!R19</f>
        <v>0</v>
      </c>
      <c r="DV23" s="766">
        <f>[1]Субсидия_факт!T19</f>
        <v>0</v>
      </c>
      <c r="DW23" s="770">
        <f>[1]Субсидия_факт!V19</f>
        <v>0</v>
      </c>
      <c r="DX23" s="957">
        <f t="shared" si="211"/>
        <v>0</v>
      </c>
      <c r="DY23" s="770"/>
      <c r="DZ23" s="770"/>
      <c r="EA23" s="770"/>
      <c r="EB23" s="801">
        <f t="shared" si="38"/>
        <v>0</v>
      </c>
      <c r="EC23" s="766">
        <f>[1]Субсидия_факт!AX19</f>
        <v>0</v>
      </c>
      <c r="ED23" s="767">
        <f>[1]Субсидия_факт!AZ19</f>
        <v>0</v>
      </c>
      <c r="EE23" s="957">
        <f t="shared" si="39"/>
        <v>0</v>
      </c>
      <c r="EF23" s="789"/>
      <c r="EG23" s="793"/>
      <c r="EH23" s="801">
        <f t="shared" si="40"/>
        <v>0</v>
      </c>
      <c r="EI23" s="766">
        <f>[1]Субсидия_факт!X19</f>
        <v>0</v>
      </c>
      <c r="EJ23" s="767">
        <f>[1]Субсидия_факт!Z19</f>
        <v>0</v>
      </c>
      <c r="EK23" s="957">
        <f t="shared" si="41"/>
        <v>0</v>
      </c>
      <c r="EL23" s="766"/>
      <c r="EM23" s="767"/>
      <c r="EN23" s="920">
        <f t="shared" si="212"/>
        <v>0</v>
      </c>
      <c r="EO23" s="763">
        <f>[1]Субсидия_факт!AP19</f>
        <v>0</v>
      </c>
      <c r="EP23" s="763">
        <f>[1]Субсидия_факт!AL19</f>
        <v>0</v>
      </c>
      <c r="EQ23" s="764">
        <f>[1]Субсидия_факт!AN19</f>
        <v>0</v>
      </c>
      <c r="ER23" s="920">
        <f t="shared" si="42"/>
        <v>0</v>
      </c>
      <c r="ES23" s="763"/>
      <c r="ET23" s="763"/>
      <c r="EU23" s="764"/>
      <c r="EV23" s="920">
        <f t="shared" si="43"/>
        <v>0</v>
      </c>
      <c r="EW23" s="763">
        <f>[1]Субсидия_факт!HH19</f>
        <v>0</v>
      </c>
      <c r="EX23" s="762">
        <f>[1]Субсидия_факт!HJ19</f>
        <v>0</v>
      </c>
      <c r="EY23" s="910">
        <f t="shared" si="44"/>
        <v>0</v>
      </c>
      <c r="EZ23" s="763"/>
      <c r="FA23" s="762"/>
      <c r="FB23" s="920">
        <f t="shared" si="45"/>
        <v>0</v>
      </c>
      <c r="FC23" s="766">
        <f>[1]Субсидия_факт!PK19</f>
        <v>0</v>
      </c>
      <c r="FD23" s="767">
        <f>[1]Субсидия_факт!PQ19</f>
        <v>0</v>
      </c>
      <c r="FE23" s="910">
        <f t="shared" si="46"/>
        <v>0</v>
      </c>
      <c r="FF23" s="763"/>
      <c r="FG23" s="764"/>
      <c r="FH23" s="920">
        <f t="shared" si="47"/>
        <v>0</v>
      </c>
      <c r="FI23" s="763">
        <f>[1]Субсидия_факт!PM19</f>
        <v>0</v>
      </c>
      <c r="FJ23" s="762">
        <f>[1]Субсидия_факт!PS19</f>
        <v>0</v>
      </c>
      <c r="FK23" s="910">
        <f t="shared" si="48"/>
        <v>0</v>
      </c>
      <c r="FL23" s="763"/>
      <c r="FM23" s="764"/>
      <c r="FN23" s="1233">
        <f t="shared" si="49"/>
        <v>0</v>
      </c>
      <c r="FO23" s="763">
        <f t="shared" si="50"/>
        <v>0</v>
      </c>
      <c r="FP23" s="762">
        <f t="shared" si="50"/>
        <v>0</v>
      </c>
      <c r="FQ23" s="782">
        <f t="shared" si="51"/>
        <v>0</v>
      </c>
      <c r="FR23" s="763">
        <f t="shared" si="52"/>
        <v>0</v>
      </c>
      <c r="FS23" s="762">
        <f t="shared" si="52"/>
        <v>0</v>
      </c>
      <c r="FT23" s="1233">
        <f t="shared" si="53"/>
        <v>0</v>
      </c>
      <c r="FU23" s="763">
        <f>[1]Субсидия_факт!PO19</f>
        <v>0</v>
      </c>
      <c r="FV23" s="762">
        <f>[1]Субсидия_факт!PU19</f>
        <v>0</v>
      </c>
      <c r="FW23" s="782">
        <f t="shared" si="54"/>
        <v>0</v>
      </c>
      <c r="FX23" s="763"/>
      <c r="FY23" s="764"/>
      <c r="FZ23" s="920">
        <f t="shared" si="55"/>
        <v>0</v>
      </c>
      <c r="GA23" s="766">
        <f>[1]Субсидия_факт!EP19</f>
        <v>0</v>
      </c>
      <c r="GB23" s="767">
        <f>[1]Субсидия_факт!ER19</f>
        <v>0</v>
      </c>
      <c r="GC23" s="1234">
        <f t="shared" si="56"/>
        <v>0</v>
      </c>
      <c r="GD23" s="766"/>
      <c r="GE23" s="767"/>
      <c r="GF23" s="1260">
        <f t="shared" si="57"/>
        <v>0</v>
      </c>
      <c r="GG23" s="766">
        <f>[1]Субсидия_факт!JN19</f>
        <v>0</v>
      </c>
      <c r="GH23" s="767">
        <f>[1]Субсидия_факт!JP19</f>
        <v>0</v>
      </c>
      <c r="GI23" s="801">
        <f t="shared" si="58"/>
        <v>0</v>
      </c>
      <c r="GJ23" s="766"/>
      <c r="GK23" s="767"/>
      <c r="GL23" s="1261">
        <f t="shared" si="59"/>
        <v>0</v>
      </c>
      <c r="GM23" s="763">
        <f>[1]Субсидия_факт!JR19</f>
        <v>0</v>
      </c>
      <c r="GN23" s="764">
        <f>[1]Субсидия_факт!JV19</f>
        <v>0</v>
      </c>
      <c r="GO23" s="1235">
        <f t="shared" si="60"/>
        <v>0</v>
      </c>
      <c r="GP23" s="766"/>
      <c r="GQ23" s="793"/>
      <c r="GR23" s="1235">
        <f t="shared" si="213"/>
        <v>0</v>
      </c>
      <c r="GS23" s="783">
        <f t="shared" si="214"/>
        <v>0</v>
      </c>
      <c r="GT23" s="1252">
        <f t="shared" si="215"/>
        <v>0</v>
      </c>
      <c r="GU23" s="783">
        <f t="shared" si="216"/>
        <v>0</v>
      </c>
      <c r="GV23" s="1234">
        <f t="shared" si="61"/>
        <v>0</v>
      </c>
      <c r="GW23" s="766">
        <f>[1]Субсидия_факт!KL19</f>
        <v>0</v>
      </c>
      <c r="GX23" s="767">
        <f>[1]Субсидия_факт!KN19</f>
        <v>0</v>
      </c>
      <c r="GY23" s="766">
        <f>[1]Субсидия_факт!KP19</f>
        <v>0</v>
      </c>
      <c r="GZ23" s="801">
        <f t="shared" si="62"/>
        <v>0</v>
      </c>
      <c r="HA23" s="766"/>
      <c r="HB23" s="767"/>
      <c r="HC23" s="770"/>
      <c r="HD23" s="1235">
        <f t="shared" si="217"/>
        <v>0</v>
      </c>
      <c r="HE23" s="766">
        <f>[1]Субсидия_факт!KR19</f>
        <v>0</v>
      </c>
      <c r="HF23" s="1235">
        <f t="shared" si="217"/>
        <v>0</v>
      </c>
      <c r="HG23" s="770"/>
      <c r="HH23" s="1235">
        <f t="shared" si="218"/>
        <v>0</v>
      </c>
      <c r="HI23" s="1235">
        <f t="shared" si="219"/>
        <v>0</v>
      </c>
      <c r="HJ23" s="1235">
        <f t="shared" si="220"/>
        <v>0</v>
      </c>
      <c r="HK23" s="1235">
        <f t="shared" si="221"/>
        <v>0</v>
      </c>
      <c r="HL23" s="1260">
        <f t="shared" si="63"/>
        <v>0</v>
      </c>
      <c r="HM23" s="766">
        <f>[1]Субсидия_факт!KV19</f>
        <v>0</v>
      </c>
      <c r="HN23" s="767">
        <f>[1]Субсидия_факт!KX19</f>
        <v>0</v>
      </c>
      <c r="HO23" s="957">
        <f t="shared" si="64"/>
        <v>0</v>
      </c>
      <c r="HP23" s="766"/>
      <c r="HQ23" s="767"/>
      <c r="HR23" s="1260">
        <f t="shared" si="65"/>
        <v>0</v>
      </c>
      <c r="HS23" s="766"/>
      <c r="HT23" s="767"/>
      <c r="HU23" s="957">
        <f t="shared" si="66"/>
        <v>0</v>
      </c>
      <c r="HV23" s="766"/>
      <c r="HW23" s="767"/>
      <c r="HX23" s="1260">
        <f t="shared" si="67"/>
        <v>0</v>
      </c>
      <c r="HY23" s="766">
        <f>[1]Субсидия_факт!FV19</f>
        <v>0</v>
      </c>
      <c r="HZ23" s="767">
        <f>[1]Субсидия_факт!FZ19</f>
        <v>0</v>
      </c>
      <c r="IA23" s="957">
        <f t="shared" si="68"/>
        <v>0</v>
      </c>
      <c r="IB23" s="766"/>
      <c r="IC23" s="767"/>
      <c r="ID23" s="1233">
        <f t="shared" si="69"/>
        <v>0</v>
      </c>
      <c r="IE23" s="763">
        <f t="shared" si="70"/>
        <v>0</v>
      </c>
      <c r="IF23" s="762">
        <f t="shared" si="70"/>
        <v>0</v>
      </c>
      <c r="IG23" s="782">
        <f t="shared" si="71"/>
        <v>0</v>
      </c>
      <c r="IH23" s="763">
        <f t="shared" si="72"/>
        <v>0</v>
      </c>
      <c r="II23" s="762">
        <f t="shared" si="72"/>
        <v>0</v>
      </c>
      <c r="IJ23" s="1233">
        <f t="shared" si="73"/>
        <v>0</v>
      </c>
      <c r="IK23" s="763">
        <f>[1]Субсидия_факт!FX19</f>
        <v>0</v>
      </c>
      <c r="IL23" s="762">
        <f>[1]Субсидия_факт!GB19</f>
        <v>0</v>
      </c>
      <c r="IM23" s="782">
        <f t="shared" si="74"/>
        <v>0</v>
      </c>
      <c r="IN23" s="763">
        <f t="shared" si="188"/>
        <v>0</v>
      </c>
      <c r="IO23" s="764">
        <f t="shared" si="189"/>
        <v>0</v>
      </c>
      <c r="IP23" s="1260">
        <f t="shared" si="75"/>
        <v>0</v>
      </c>
      <c r="IQ23" s="763">
        <f>[1]Субсидия_факт!ED19</f>
        <v>0</v>
      </c>
      <c r="IR23" s="764">
        <f>[1]Субсидия_факт!EF19</f>
        <v>0</v>
      </c>
      <c r="IS23" s="957">
        <f t="shared" si="76"/>
        <v>0</v>
      </c>
      <c r="IT23" s="766"/>
      <c r="IU23" s="767"/>
      <c r="IV23" s="1265">
        <f t="shared" si="77"/>
        <v>0</v>
      </c>
      <c r="IW23" s="763">
        <f>[1]Субсидия_факт!EH19</f>
        <v>0</v>
      </c>
      <c r="IX23" s="764">
        <f>[1]Субсидия_факт!EL19</f>
        <v>0</v>
      </c>
      <c r="IY23" s="1254">
        <f t="shared" si="78"/>
        <v>0</v>
      </c>
      <c r="IZ23" s="766"/>
      <c r="JA23" s="793"/>
      <c r="JB23" s="1235">
        <f t="shared" si="222"/>
        <v>0</v>
      </c>
      <c r="JC23" s="1235">
        <f t="shared" si="223"/>
        <v>0</v>
      </c>
      <c r="JD23" s="1235">
        <f t="shared" si="224"/>
        <v>0</v>
      </c>
      <c r="JE23" s="783">
        <f t="shared" si="225"/>
        <v>0</v>
      </c>
      <c r="JF23" s="1266">
        <f t="shared" si="79"/>
        <v>0</v>
      </c>
      <c r="JG23" s="763">
        <f>[1]Субсидия_факт!BX19</f>
        <v>0</v>
      </c>
      <c r="JH23" s="764">
        <f>[1]Субсидия_факт!BZ19</f>
        <v>0</v>
      </c>
      <c r="JI23" s="957">
        <f t="shared" si="80"/>
        <v>0</v>
      </c>
      <c r="JJ23" s="766"/>
      <c r="JK23" s="767"/>
      <c r="JL23" s="1260">
        <f t="shared" si="81"/>
        <v>0</v>
      </c>
      <c r="JM23" s="766">
        <f>[1]Субсидия_факт!ET19</f>
        <v>0</v>
      </c>
      <c r="JN23" s="767">
        <f>[1]Субсидия_факт!EV19</f>
        <v>0</v>
      </c>
      <c r="JO23" s="957">
        <f t="shared" si="82"/>
        <v>0</v>
      </c>
      <c r="JP23" s="766"/>
      <c r="JQ23" s="767"/>
      <c r="JR23" s="910">
        <f t="shared" si="83"/>
        <v>0</v>
      </c>
      <c r="JS23" s="763">
        <f>[1]Субсидия_факт!EX19</f>
        <v>0</v>
      </c>
      <c r="JT23" s="762">
        <f>[1]Субсидия_факт!FD19</f>
        <v>0</v>
      </c>
      <c r="JU23" s="910">
        <f t="shared" si="84"/>
        <v>0</v>
      </c>
      <c r="JV23" s="763"/>
      <c r="JW23" s="764"/>
      <c r="JX23" s="910">
        <f t="shared" si="85"/>
        <v>0</v>
      </c>
      <c r="JY23" s="763">
        <f>[1]Субсидия_факт!EZ19</f>
        <v>0</v>
      </c>
      <c r="JZ23" s="764">
        <f>[1]Субсидия_факт!FF19</f>
        <v>0</v>
      </c>
      <c r="KA23" s="910">
        <f t="shared" si="86"/>
        <v>0</v>
      </c>
      <c r="KB23" s="754"/>
      <c r="KC23" s="768"/>
      <c r="KD23" s="910">
        <f t="shared" si="87"/>
        <v>-86515.47</v>
      </c>
      <c r="KE23" s="755">
        <f>'Проверочная  таблица'!JY23-'Проверочная  таблица'!KK23</f>
        <v>-22494.020000000004</v>
      </c>
      <c r="KF23" s="764">
        <f>'Проверочная  таблица'!JZ23-'Проверочная  таблица'!KL23</f>
        <v>-64021.45</v>
      </c>
      <c r="KG23" s="1225">
        <f t="shared" si="88"/>
        <v>0</v>
      </c>
      <c r="KH23" s="754">
        <f>'Проверочная  таблица'!KB23-'Проверочная  таблица'!KN23</f>
        <v>0</v>
      </c>
      <c r="KI23" s="771">
        <f>'Проверочная  таблица'!KC23-'Проверочная  таблица'!KO23</f>
        <v>0</v>
      </c>
      <c r="KJ23" s="910">
        <f t="shared" si="89"/>
        <v>86515.47</v>
      </c>
      <c r="KK23" s="763">
        <f>[1]Субсидия_факт!FB19</f>
        <v>22494.020000000004</v>
      </c>
      <c r="KL23" s="762">
        <f>[1]Субсидия_факт!FH19</f>
        <v>64021.45</v>
      </c>
      <c r="KM23" s="782">
        <f t="shared" si="90"/>
        <v>0</v>
      </c>
      <c r="KN23" s="763"/>
      <c r="KO23" s="764"/>
      <c r="KP23" s="1217">
        <f t="shared" si="226"/>
        <v>695693.15999999992</v>
      </c>
      <c r="KQ23" s="754">
        <f>[1]Субсидия_факт!OD19</f>
        <v>264430</v>
      </c>
      <c r="KR23" s="764">
        <f>[1]Субсидия_факт!OJ19</f>
        <v>329453.15999999997</v>
      </c>
      <c r="KS23" s="754">
        <f>[1]Субсидия_факт!OR19</f>
        <v>37012.79</v>
      </c>
      <c r="KT23" s="764">
        <f>[1]Субсидия_факт!OT19</f>
        <v>64797.21</v>
      </c>
      <c r="KU23" s="1217">
        <f t="shared" si="91"/>
        <v>0</v>
      </c>
      <c r="KV23" s="754"/>
      <c r="KW23" s="764"/>
      <c r="KX23" s="754"/>
      <c r="KY23" s="764"/>
      <c r="KZ23" s="1217">
        <f t="shared" si="227"/>
        <v>37340</v>
      </c>
      <c r="LA23" s="789">
        <f>[1]Субсидия_факт!OF19</f>
        <v>37340</v>
      </c>
      <c r="LB23" s="767">
        <f>[1]Субсидия_факт!OL19</f>
        <v>0</v>
      </c>
      <c r="LC23" s="789"/>
      <c r="LD23" s="767"/>
      <c r="LE23" s="1217">
        <f t="shared" si="92"/>
        <v>0</v>
      </c>
      <c r="LF23" s="754"/>
      <c r="LG23" s="764"/>
      <c r="LH23" s="754"/>
      <c r="LI23" s="764"/>
      <c r="LJ23" s="1219">
        <f t="shared" si="93"/>
        <v>-27130</v>
      </c>
      <c r="LK23" s="789">
        <f t="shared" si="94"/>
        <v>-27130</v>
      </c>
      <c r="LL23" s="767">
        <f t="shared" si="94"/>
        <v>0</v>
      </c>
      <c r="LM23" s="1219">
        <f t="shared" si="95"/>
        <v>0</v>
      </c>
      <c r="LN23" s="789">
        <f t="shared" si="96"/>
        <v>0</v>
      </c>
      <c r="LO23" s="767">
        <f t="shared" si="96"/>
        <v>0</v>
      </c>
      <c r="LP23" s="1219">
        <f t="shared" si="97"/>
        <v>64470</v>
      </c>
      <c r="LQ23" s="763">
        <f>[1]Субсидия_факт!OH19</f>
        <v>64470</v>
      </c>
      <c r="LR23" s="762">
        <f>[1]Субсидия_факт!ON19</f>
        <v>0</v>
      </c>
      <c r="LS23" s="1219">
        <f t="shared" si="98"/>
        <v>0</v>
      </c>
      <c r="LT23" s="755"/>
      <c r="LU23" s="764"/>
      <c r="LV23" s="957">
        <f t="shared" si="228"/>
        <v>0</v>
      </c>
      <c r="LW23" s="769">
        <f>[1]Субсидия_факт!DP19</f>
        <v>0</v>
      </c>
      <c r="LX23" s="754">
        <f>[1]Субсидия_факт!CB19</f>
        <v>0</v>
      </c>
      <c r="LY23" s="764">
        <f>[1]Субсидия_факт!CH19</f>
        <v>0</v>
      </c>
      <c r="LZ23" s="957">
        <f t="shared" si="99"/>
        <v>0</v>
      </c>
      <c r="MA23" s="769"/>
      <c r="MB23" s="754"/>
      <c r="MC23" s="764"/>
      <c r="MD23" s="957">
        <f t="shared" si="229"/>
        <v>0</v>
      </c>
      <c r="ME23" s="769">
        <f>[1]Субсидия_факт!DR19</f>
        <v>0</v>
      </c>
      <c r="MF23" s="754">
        <f>[1]Субсидия_факт!CD19</f>
        <v>0</v>
      </c>
      <c r="MG23" s="764">
        <f>[1]Субсидия_факт!CJ19</f>
        <v>0</v>
      </c>
      <c r="MH23" s="957">
        <f t="shared" si="100"/>
        <v>0</v>
      </c>
      <c r="MI23" s="769"/>
      <c r="MJ23" s="754"/>
      <c r="MK23" s="762"/>
      <c r="ML23" s="783">
        <f t="shared" si="101"/>
        <v>0</v>
      </c>
      <c r="MM23" s="766">
        <f>'Проверочная  таблица'!ME23-MU23</f>
        <v>0</v>
      </c>
      <c r="MN23" s="766">
        <f>'Проверочная  таблица'!MF23-MV23</f>
        <v>0</v>
      </c>
      <c r="MO23" s="767">
        <f>'Проверочная  таблица'!MG23-MW23</f>
        <v>0</v>
      </c>
      <c r="MP23" s="783">
        <f t="shared" si="102"/>
        <v>0</v>
      </c>
      <c r="MQ23" s="766">
        <f>'Проверочная  таблица'!MI23-MY23</f>
        <v>0</v>
      </c>
      <c r="MR23" s="766">
        <f>'Проверочная  таблица'!MJ23-MZ23</f>
        <v>0</v>
      </c>
      <c r="MS23" s="767">
        <f>'Проверочная  таблица'!MK23-NA23</f>
        <v>0</v>
      </c>
      <c r="MT23" s="783">
        <f t="shared" si="103"/>
        <v>0</v>
      </c>
      <c r="MU23" s="754">
        <f>[1]Субсидия_факт!DT19</f>
        <v>0</v>
      </c>
      <c r="MV23" s="754">
        <f>[1]Субсидия_факт!CF19</f>
        <v>0</v>
      </c>
      <c r="MW23" s="764">
        <f>[1]Субсидия_факт!CL19</f>
        <v>0</v>
      </c>
      <c r="MX23" s="783">
        <f t="shared" si="104"/>
        <v>0</v>
      </c>
      <c r="MY23" s="754"/>
      <c r="MZ23" s="754"/>
      <c r="NA23" s="764"/>
      <c r="NB23" s="1224">
        <f t="shared" si="230"/>
        <v>86515.47</v>
      </c>
      <c r="NC23" s="754">
        <f>[1]Субсидия_факт!CN19</f>
        <v>0</v>
      </c>
      <c r="ND23" s="762">
        <f>[1]Субсидия_факт!CP19</f>
        <v>0</v>
      </c>
      <c r="NE23" s="766">
        <f>[1]Субсидия_факт!CR19</f>
        <v>0</v>
      </c>
      <c r="NF23" s="767">
        <f>[1]Субсидия_факт!CT19</f>
        <v>0</v>
      </c>
      <c r="NG23" s="755">
        <f>[1]Субсидия_факт!DV19</f>
        <v>0</v>
      </c>
      <c r="NH23" s="763">
        <f>[1]Субсидия_факт!FJ19</f>
        <v>22494.020000000004</v>
      </c>
      <c r="NI23" s="762">
        <f>[1]Субсидия_факт!FP19</f>
        <v>64021.45</v>
      </c>
      <c r="NJ23" s="910">
        <f t="shared" si="105"/>
        <v>86515.47</v>
      </c>
      <c r="NK23" s="754"/>
      <c r="NL23" s="764"/>
      <c r="NM23" s="770"/>
      <c r="NN23" s="794"/>
      <c r="NO23" s="754"/>
      <c r="NP23" s="754">
        <f t="shared" si="248"/>
        <v>22494.020000000004</v>
      </c>
      <c r="NQ23" s="764">
        <f t="shared" si="248"/>
        <v>64021.45</v>
      </c>
      <c r="NR23" s="910">
        <f t="shared" si="231"/>
        <v>0</v>
      </c>
      <c r="NS23" s="763">
        <f>[1]Субсидия_факт!FL19</f>
        <v>0</v>
      </c>
      <c r="NT23" s="762">
        <f>[1]Субсидия_факт!FR19</f>
        <v>0</v>
      </c>
      <c r="NU23" s="910">
        <f t="shared" si="106"/>
        <v>0</v>
      </c>
      <c r="NV23" s="755"/>
      <c r="NW23" s="764"/>
      <c r="NX23" s="782">
        <f t="shared" si="107"/>
        <v>0</v>
      </c>
      <c r="NY23" s="763">
        <f>'Проверочная  таблица'!NS23-OE23</f>
        <v>0</v>
      </c>
      <c r="NZ23" s="764">
        <f>'Проверочная  таблица'!NT23-OF23</f>
        <v>0</v>
      </c>
      <c r="OA23" s="782">
        <f t="shared" si="108"/>
        <v>0</v>
      </c>
      <c r="OB23" s="754">
        <f>'Проверочная  таблица'!NV23-OH23</f>
        <v>0</v>
      </c>
      <c r="OC23" s="771">
        <f>'Проверочная  таблица'!NW23-OI23</f>
        <v>0</v>
      </c>
      <c r="OD23" s="782">
        <f t="shared" si="232"/>
        <v>0</v>
      </c>
      <c r="OE23" s="763">
        <f>[1]Субсидия_факт!FN19</f>
        <v>0</v>
      </c>
      <c r="OF23" s="762">
        <f>[1]Субсидия_факт!FT19</f>
        <v>0</v>
      </c>
      <c r="OG23" s="782">
        <f t="shared" si="109"/>
        <v>0</v>
      </c>
      <c r="OH23" s="754"/>
      <c r="OI23" s="764"/>
      <c r="OJ23" s="919">
        <f t="shared" si="233"/>
        <v>0</v>
      </c>
      <c r="OK23" s="763">
        <f>[1]Субсидия_факт!AR19</f>
        <v>0</v>
      </c>
      <c r="OL23" s="762">
        <f>[1]Субсидия_факт!AT19</f>
        <v>0</v>
      </c>
      <c r="OM23" s="763">
        <f>[1]Субсидия_факт!AV19</f>
        <v>0</v>
      </c>
      <c r="ON23" s="957">
        <f t="shared" si="110"/>
        <v>0</v>
      </c>
      <c r="OO23" s="770"/>
      <c r="OP23" s="767"/>
      <c r="OQ23" s="770"/>
      <c r="OR23" s="1238">
        <f t="shared" si="111"/>
        <v>7388479.1600000001</v>
      </c>
      <c r="OS23" s="763">
        <f>[1]Субсидия_факт!GD19</f>
        <v>0</v>
      </c>
      <c r="OT23" s="762">
        <f>[1]Субсидия_факт!GJ19</f>
        <v>7388479.1600000001</v>
      </c>
      <c r="OU23" s="770">
        <f>[1]Субсидия_факт!GP19</f>
        <v>0</v>
      </c>
      <c r="OV23" s="1238">
        <f t="shared" si="112"/>
        <v>0</v>
      </c>
      <c r="OW23" s="755"/>
      <c r="OX23" s="764"/>
      <c r="OY23" s="754"/>
      <c r="OZ23" s="1217">
        <f t="shared" si="234"/>
        <v>7388479.1600000001</v>
      </c>
      <c r="PA23" s="763">
        <f>[1]Субсидия_факт!GF19</f>
        <v>0</v>
      </c>
      <c r="PB23" s="762">
        <f>[1]Субсидия_факт!GL19</f>
        <v>0</v>
      </c>
      <c r="PC23" s="754">
        <f>[1]Субсидия_факт!GR19</f>
        <v>7388479.1600000001</v>
      </c>
      <c r="PD23" s="1217">
        <f t="shared" si="113"/>
        <v>0</v>
      </c>
      <c r="PE23" s="754"/>
      <c r="PF23" s="771"/>
      <c r="PG23" s="754">
        <v>0</v>
      </c>
      <c r="PH23" s="1219">
        <f t="shared" si="114"/>
        <v>7388479.1600000001</v>
      </c>
      <c r="PI23" s="789">
        <f>'Проверочная  таблица'!PA23-PQ23</f>
        <v>0</v>
      </c>
      <c r="PJ23" s="767">
        <f>'Проверочная  таблица'!PB23-PR23</f>
        <v>0</v>
      </c>
      <c r="PK23" s="770">
        <f>'Проверочная  таблица'!PC23-PS23</f>
        <v>7388479.1600000001</v>
      </c>
      <c r="PL23" s="1219">
        <f t="shared" si="235"/>
        <v>0</v>
      </c>
      <c r="PM23" s="755">
        <f>'Проверочная  таблица'!PE23-PU23</f>
        <v>0</v>
      </c>
      <c r="PN23" s="764">
        <f>'Проверочная  таблица'!PF23-PV23</f>
        <v>0</v>
      </c>
      <c r="PO23" s="754">
        <f>'Проверочная  таблица'!PG23-PW23</f>
        <v>0</v>
      </c>
      <c r="PP23" s="1219">
        <f t="shared" si="115"/>
        <v>0</v>
      </c>
      <c r="PQ23" s="763">
        <f>[1]Субсидия_факт!GH19</f>
        <v>0</v>
      </c>
      <c r="PR23" s="762">
        <f>[1]Субсидия_факт!GN19</f>
        <v>0</v>
      </c>
      <c r="PS23" s="763">
        <f>[1]Субсидия_факт!GT19</f>
        <v>0</v>
      </c>
      <c r="PT23" s="1219">
        <f t="shared" si="116"/>
        <v>0</v>
      </c>
      <c r="PU23" s="755">
        <f t="shared" si="193"/>
        <v>0</v>
      </c>
      <c r="PV23" s="764">
        <f t="shared" si="194"/>
        <v>0</v>
      </c>
      <c r="PW23" s="763"/>
      <c r="PX23" s="910">
        <f t="shared" si="195"/>
        <v>0</v>
      </c>
      <c r="PY23" s="766">
        <f>[1]Субсидия_факт!JB19</f>
        <v>0</v>
      </c>
      <c r="PZ23" s="767">
        <f>[1]Субсидия_факт!JH19</f>
        <v>0</v>
      </c>
      <c r="QA23" s="766"/>
      <c r="QB23" s="767"/>
      <c r="QC23" s="910">
        <f t="shared" si="196"/>
        <v>0</v>
      </c>
      <c r="QD23" s="770"/>
      <c r="QE23" s="794"/>
      <c r="QF23" s="770"/>
      <c r="QG23" s="794"/>
      <c r="QH23" s="957">
        <f t="shared" si="117"/>
        <v>0</v>
      </c>
      <c r="QI23" s="766">
        <f>[1]Субсидия_факт!JD19</f>
        <v>0</v>
      </c>
      <c r="QJ23" s="767">
        <f>[1]Субсидия_факт!JJ19</f>
        <v>0</v>
      </c>
      <c r="QK23" s="1253">
        <f t="shared" si="118"/>
        <v>0</v>
      </c>
      <c r="QL23" s="770"/>
      <c r="QM23" s="794"/>
      <c r="QN23" s="783">
        <f t="shared" si="236"/>
        <v>0</v>
      </c>
      <c r="QO23" s="770">
        <f t="shared" si="119"/>
        <v>0</v>
      </c>
      <c r="QP23" s="767">
        <f t="shared" si="119"/>
        <v>0</v>
      </c>
      <c r="QQ23" s="1235">
        <f t="shared" si="120"/>
        <v>0</v>
      </c>
      <c r="QR23" s="766">
        <f t="shared" si="121"/>
        <v>0</v>
      </c>
      <c r="QS23" s="767">
        <f t="shared" si="121"/>
        <v>0</v>
      </c>
      <c r="QT23" s="1235">
        <f t="shared" si="122"/>
        <v>0</v>
      </c>
      <c r="QU23" s="766">
        <f>[1]Субсидия_факт!JF19</f>
        <v>0</v>
      </c>
      <c r="QV23" s="767">
        <f>[1]Субсидия_факт!JL19</f>
        <v>0</v>
      </c>
      <c r="QW23" s="783">
        <f t="shared" si="237"/>
        <v>0</v>
      </c>
      <c r="QX23" s="770"/>
      <c r="QY23" s="794"/>
      <c r="QZ23" s="1260">
        <f t="shared" si="123"/>
        <v>0</v>
      </c>
      <c r="RA23" s="766">
        <f>[1]Субсидия_факт!CV19</f>
        <v>0</v>
      </c>
      <c r="RB23" s="767">
        <f>[1]Субсидия_факт!CX19</f>
        <v>0</v>
      </c>
      <c r="RC23" s="957">
        <f t="shared" si="124"/>
        <v>0</v>
      </c>
      <c r="RD23" s="766"/>
      <c r="RE23" s="767"/>
      <c r="RF23" s="801">
        <f t="shared" si="125"/>
        <v>0</v>
      </c>
      <c r="RG23" s="766">
        <f>[1]Субсидия_факт!CZ19</f>
        <v>0</v>
      </c>
      <c r="RH23" s="767">
        <f>[1]Субсидия_факт!DF19</f>
        <v>0</v>
      </c>
      <c r="RI23" s="957">
        <f t="shared" si="126"/>
        <v>0</v>
      </c>
      <c r="RJ23" s="766"/>
      <c r="RK23" s="767"/>
      <c r="RL23" s="1260">
        <f t="shared" si="127"/>
        <v>0</v>
      </c>
      <c r="RM23" s="766">
        <f>[1]Субсидия_факт!DB19</f>
        <v>0</v>
      </c>
      <c r="RN23" s="767">
        <f>[1]Субсидия_факт!DH19</f>
        <v>0</v>
      </c>
      <c r="RO23" s="957">
        <f t="shared" si="128"/>
        <v>0</v>
      </c>
      <c r="RP23" s="766"/>
      <c r="RQ23" s="767"/>
      <c r="RR23" s="1235">
        <f t="shared" si="129"/>
        <v>0</v>
      </c>
      <c r="RS23" s="766">
        <f t="shared" si="130"/>
        <v>0</v>
      </c>
      <c r="RT23" s="767">
        <f t="shared" si="130"/>
        <v>0</v>
      </c>
      <c r="RU23" s="783">
        <f t="shared" si="131"/>
        <v>0</v>
      </c>
      <c r="RV23" s="766">
        <f t="shared" si="132"/>
        <v>0</v>
      </c>
      <c r="RW23" s="767">
        <f t="shared" si="132"/>
        <v>0</v>
      </c>
      <c r="RX23" s="1260">
        <f t="shared" si="133"/>
        <v>0</v>
      </c>
      <c r="RY23" s="766">
        <f>[1]Субсидия_факт!DD19</f>
        <v>0</v>
      </c>
      <c r="RZ23" s="767">
        <f>[1]Субсидия_факт!DJ19</f>
        <v>0</v>
      </c>
      <c r="SA23" s="783">
        <f t="shared" si="134"/>
        <v>0</v>
      </c>
      <c r="SB23" s="766"/>
      <c r="SC23" s="767"/>
      <c r="SD23" s="801">
        <f t="shared" si="135"/>
        <v>0</v>
      </c>
      <c r="SE23" s="766">
        <f>[1]Субсидия_факт!DL19</f>
        <v>0</v>
      </c>
      <c r="SF23" s="767">
        <f>[1]Субсидия_факт!DN19</f>
        <v>0</v>
      </c>
      <c r="SG23" s="1253">
        <f t="shared" si="136"/>
        <v>0</v>
      </c>
      <c r="SH23" s="789"/>
      <c r="SI23" s="793"/>
      <c r="SJ23" s="957">
        <f t="shared" si="238"/>
        <v>0</v>
      </c>
      <c r="SK23" s="763">
        <f>[1]Субсидия_факт!BJ19</f>
        <v>0</v>
      </c>
      <c r="SL23" s="766">
        <f>[1]Субсидия_факт!BF19</f>
        <v>0</v>
      </c>
      <c r="SM23" s="793">
        <f>[1]Субсидия_факт!BH19</f>
        <v>0</v>
      </c>
      <c r="SN23" s="957">
        <f t="shared" si="137"/>
        <v>0</v>
      </c>
      <c r="SO23" s="795"/>
      <c r="SP23" s="789"/>
      <c r="SQ23" s="793"/>
      <c r="SR23" s="801">
        <f t="shared" si="138"/>
        <v>0</v>
      </c>
      <c r="SS23" s="766">
        <f>[1]Субсидия_факт!AD19</f>
        <v>0</v>
      </c>
      <c r="ST23" s="767">
        <f>[1]Субсидия_факт!AF19</f>
        <v>0</v>
      </c>
      <c r="SU23" s="957">
        <f t="shared" si="139"/>
        <v>0</v>
      </c>
      <c r="SV23" s="789"/>
      <c r="SW23" s="793"/>
      <c r="SX23" s="801">
        <f t="shared" si="239"/>
        <v>0</v>
      </c>
      <c r="SY23" s="766">
        <f>[1]Субсидия_факт!ID19</f>
        <v>0</v>
      </c>
      <c r="SZ23" s="767">
        <f>[1]Субсидия_факт!IJ19</f>
        <v>0</v>
      </c>
      <c r="TA23" s="789">
        <f>[1]Субсидия_факт!IP19</f>
        <v>0</v>
      </c>
      <c r="TB23" s="767">
        <f>[1]Субсидия_факт!IV19</f>
        <v>0</v>
      </c>
      <c r="TC23" s="1028">
        <f>[1]Субсидия_факт!JZ19</f>
        <v>0</v>
      </c>
      <c r="TD23" s="793">
        <f>[1]Субсидия_факт!KF19</f>
        <v>0</v>
      </c>
      <c r="TE23" s="957">
        <f t="shared" si="140"/>
        <v>0</v>
      </c>
      <c r="TF23" s="1162"/>
      <c r="TG23" s="794"/>
      <c r="TH23" s="1162"/>
      <c r="TI23" s="794"/>
      <c r="TJ23" s="1028"/>
      <c r="TK23" s="793"/>
      <c r="TL23" s="801">
        <f t="shared" si="141"/>
        <v>14291813.720000001</v>
      </c>
      <c r="TM23" s="766">
        <f>[1]Субсидия_факт!IF19</f>
        <v>714590.71000000089</v>
      </c>
      <c r="TN23" s="767">
        <f>[1]Субсидия_факт!IL19</f>
        <v>13577223.01</v>
      </c>
      <c r="TO23" s="789">
        <f>[1]Субсидия_факт!IR19</f>
        <v>0</v>
      </c>
      <c r="TP23" s="767">
        <f>[1]Субсидия_факт!IX19</f>
        <v>0</v>
      </c>
      <c r="TQ23" s="789">
        <f>[1]Субсидия_факт!KB19</f>
        <v>0</v>
      </c>
      <c r="TR23" s="767">
        <f>[1]Субсидия_факт!KH19</f>
        <v>0</v>
      </c>
      <c r="TS23" s="957">
        <f t="shared" si="142"/>
        <v>1506103.1199999996</v>
      </c>
      <c r="TT23" s="770">
        <v>75305.149999999994</v>
      </c>
      <c r="TU23" s="794">
        <v>1430797.9699999997</v>
      </c>
      <c r="TV23" s="1028"/>
      <c r="TW23" s="794"/>
      <c r="TX23" s="770"/>
      <c r="TY23" s="794"/>
      <c r="TZ23" s="923">
        <f t="shared" si="143"/>
        <v>14291813.720000001</v>
      </c>
      <c r="UA23" s="763">
        <f t="shared" si="144"/>
        <v>714590.71000000089</v>
      </c>
      <c r="UB23" s="764">
        <f t="shared" si="144"/>
        <v>13577223.01</v>
      </c>
      <c r="UC23" s="763">
        <f t="shared" si="144"/>
        <v>0</v>
      </c>
      <c r="UD23" s="764">
        <f t="shared" si="144"/>
        <v>0</v>
      </c>
      <c r="UE23" s="755">
        <f t="shared" si="144"/>
        <v>0</v>
      </c>
      <c r="UF23" s="764">
        <f t="shared" si="144"/>
        <v>0</v>
      </c>
      <c r="UG23" s="782">
        <f t="shared" si="145"/>
        <v>1506103.1199999996</v>
      </c>
      <c r="UH23" s="763">
        <f t="shared" si="146"/>
        <v>75305.149999999994</v>
      </c>
      <c r="UI23" s="764">
        <f t="shared" si="146"/>
        <v>1430797.9699999997</v>
      </c>
      <c r="UJ23" s="763">
        <f t="shared" si="146"/>
        <v>0</v>
      </c>
      <c r="UK23" s="764">
        <f t="shared" si="146"/>
        <v>0</v>
      </c>
      <c r="UL23" s="755">
        <f t="shared" si="146"/>
        <v>0</v>
      </c>
      <c r="UM23" s="764">
        <f t="shared" si="146"/>
        <v>0</v>
      </c>
      <c r="UN23" s="936">
        <f t="shared" si="147"/>
        <v>0</v>
      </c>
      <c r="UO23" s="766">
        <f>[1]Субсидия_факт!IH19</f>
        <v>0</v>
      </c>
      <c r="UP23" s="767">
        <f>[1]Субсидия_факт!IN19</f>
        <v>0</v>
      </c>
      <c r="UQ23" s="789">
        <f>[1]Субсидия_факт!IT19</f>
        <v>0</v>
      </c>
      <c r="UR23" s="767">
        <f>[1]Субсидия_факт!IZ19</f>
        <v>0</v>
      </c>
      <c r="US23" s="789">
        <f>[1]Субсидия_факт!KD19</f>
        <v>0</v>
      </c>
      <c r="UT23" s="767">
        <f>[1]Субсидия_факт!KJ19</f>
        <v>0</v>
      </c>
      <c r="UU23" s="783">
        <f t="shared" si="148"/>
        <v>0</v>
      </c>
      <c r="UV23" s="1028"/>
      <c r="UW23" s="794"/>
      <c r="UX23" s="1028"/>
      <c r="UY23" s="794"/>
      <c r="UZ23" s="1028"/>
      <c r="VA23" s="794"/>
      <c r="VB23" s="957">
        <f>'Прочая  субсидия_МР  и  ГО'!B18</f>
        <v>45000525.539999999</v>
      </c>
      <c r="VC23" s="957">
        <f>'Прочая  субсидия_МР  и  ГО'!C18</f>
        <v>9193726.6800000016</v>
      </c>
      <c r="VD23" s="1234">
        <f>'Прочая  субсидия_БП'!B18</f>
        <v>1631438.09</v>
      </c>
      <c r="VE23" s="801">
        <f>'Прочая  субсидия_БП'!C18</f>
        <v>107386.98999999999</v>
      </c>
      <c r="VF23" s="1255">
        <f>'Прочая  субсидия_БП'!D18</f>
        <v>1462286.4300000002</v>
      </c>
      <c r="VG23" s="1248">
        <f>'Прочая  субсидия_БП'!E18</f>
        <v>107386.98999999999</v>
      </c>
      <c r="VH23" s="1249">
        <f>'Прочая  субсидия_БП'!F18</f>
        <v>169151.66</v>
      </c>
      <c r="VI23" s="1255">
        <f>'Прочая  субсидия_БП'!G18</f>
        <v>0</v>
      </c>
      <c r="VJ23" s="801">
        <f t="shared" si="149"/>
        <v>247074850.64000002</v>
      </c>
      <c r="VK23" s="770">
        <f>'Проверочная  таблица'!WM23+'Проверочная  таблица'!VP23+'Проверочная  таблица'!VR23+WG23</f>
        <v>240807862.36000001</v>
      </c>
      <c r="VL23" s="795">
        <f>'Проверочная  таблица'!WN23+'Проверочная  таблица'!VV23+'Проверочная  таблица'!WB23+'Проверочная  таблица'!VX23+'Проверочная  таблица'!VZ23+WD23+WH23+VT23</f>
        <v>6266988.2800000003</v>
      </c>
      <c r="VM23" s="957">
        <f t="shared" si="150"/>
        <v>130533129.13000001</v>
      </c>
      <c r="VN23" s="770">
        <f>'Проверочная  таблица'!WP23+'Проверочная  таблица'!VQ23+'Проверочная  таблица'!VS23+WJ23</f>
        <v>126960213.93000001</v>
      </c>
      <c r="VO23" s="795">
        <f>'Проверочная  таблица'!WQ23+'Проверочная  таблица'!VW23+'Проверочная  таблица'!WC23+'Проверочная  таблица'!VY23+'Проверочная  таблица'!WA23+WE23+WK23+VU23</f>
        <v>3572915.2</v>
      </c>
      <c r="VP23" s="1253">
        <f>'Субвенция  на  полномочия'!B18</f>
        <v>229323202.33000001</v>
      </c>
      <c r="VQ23" s="1234">
        <f>'Субвенция  на  полномочия'!C18</f>
        <v>120658945.09</v>
      </c>
      <c r="VR23" s="790">
        <f>[1]Субвенция_факт!M18*1000</f>
        <v>8772874</v>
      </c>
      <c r="VS23" s="796">
        <v>4800000</v>
      </c>
      <c r="VT23" s="790">
        <f>[1]Субвенция_факт!AE18*1000</f>
        <v>0</v>
      </c>
      <c r="VU23" s="796"/>
      <c r="VV23" s="790">
        <f>[1]Субвенция_факт!AF18*1000</f>
        <v>1137400</v>
      </c>
      <c r="VW23" s="796">
        <f>ВУС!E101</f>
        <v>525757.33000000007</v>
      </c>
      <c r="VX23" s="1256">
        <f>[1]Субвенция_факт!AG18*1000</f>
        <v>0</v>
      </c>
      <c r="VY23" s="797"/>
      <c r="VZ23" s="792">
        <f>[1]Субвенция_факт!E18*1000</f>
        <v>0</v>
      </c>
      <c r="WA23" s="797"/>
      <c r="WB23" s="792">
        <f>[1]Субвенция_факт!F18*1000</f>
        <v>0</v>
      </c>
      <c r="WC23" s="797"/>
      <c r="WD23" s="791">
        <f>[1]Субвенция_факт!G18*1000</f>
        <v>0</v>
      </c>
      <c r="WE23" s="796"/>
      <c r="WF23" s="801">
        <f t="shared" si="151"/>
        <v>5871065.25</v>
      </c>
      <c r="WG23" s="766">
        <f>[1]Субвенция_факт!P18*1000</f>
        <v>1526476.9699999997</v>
      </c>
      <c r="WH23" s="767">
        <f>[1]Субвенция_факт!Q18*1000</f>
        <v>4344588.28</v>
      </c>
      <c r="WI23" s="957">
        <f t="shared" si="152"/>
        <v>3581803.2399999998</v>
      </c>
      <c r="WJ23" s="770">
        <v>931268.84</v>
      </c>
      <c r="WK23" s="798">
        <v>2650534.4</v>
      </c>
      <c r="WL23" s="957">
        <f t="shared" si="153"/>
        <v>1970309.06</v>
      </c>
      <c r="WM23" s="799">
        <f>[1]Субвенция_факт!X18*1000</f>
        <v>1185309.06</v>
      </c>
      <c r="WN23" s="800">
        <f>[1]Субвенция_факт!W18*1000</f>
        <v>785000</v>
      </c>
      <c r="WO23" s="957">
        <f t="shared" si="154"/>
        <v>966623.47</v>
      </c>
      <c r="WP23" s="770">
        <v>570000</v>
      </c>
      <c r="WQ23" s="798">
        <v>396623.47</v>
      </c>
      <c r="WR23" s="957">
        <f t="shared" si="240"/>
        <v>54032067.440000005</v>
      </c>
      <c r="WS23" s="957">
        <f t="shared" si="241"/>
        <v>14470987.109999999</v>
      </c>
      <c r="WT23" s="1253">
        <f t="shared" si="155"/>
        <v>0</v>
      </c>
      <c r="WU23" s="799">
        <f>'[1]Иные межбюджетные трансферты'!AM19</f>
        <v>0</v>
      </c>
      <c r="WV23" s="800">
        <f>'[1]Иные межбюджетные трансферты'!AO19</f>
        <v>0</v>
      </c>
      <c r="WW23" s="1253">
        <f t="shared" si="156"/>
        <v>0</v>
      </c>
      <c r="WX23" s="799"/>
      <c r="WY23" s="800"/>
      <c r="WZ23" s="957">
        <f t="shared" si="157"/>
        <v>1078476.56</v>
      </c>
      <c r="XA23" s="799">
        <f>'[1]Иные межбюджетные трансферты'!AI19</f>
        <v>53923.83</v>
      </c>
      <c r="XB23" s="800">
        <f>'[1]Иные межбюджетные трансферты'!AK19</f>
        <v>1024552.7300000001</v>
      </c>
      <c r="XC23" s="957">
        <f t="shared" si="158"/>
        <v>539238.29</v>
      </c>
      <c r="XD23" s="799">
        <v>26961.91</v>
      </c>
      <c r="XE23" s="800">
        <v>512276.38</v>
      </c>
      <c r="XF23" s="957">
        <f t="shared" si="159"/>
        <v>6952630</v>
      </c>
      <c r="XG23" s="799">
        <f>'[1]Иные межбюджетные трансферты'!I19</f>
        <v>0</v>
      </c>
      <c r="XH23" s="800">
        <f>'[1]Иные межбюджетные трансферты'!K19</f>
        <v>6952630</v>
      </c>
      <c r="XI23" s="957">
        <f t="shared" si="242"/>
        <v>6952630</v>
      </c>
      <c r="XJ23" s="786"/>
      <c r="XK23" s="800">
        <v>6952630</v>
      </c>
      <c r="XL23" s="957">
        <f t="shared" si="161"/>
        <v>0</v>
      </c>
      <c r="XM23" s="789"/>
      <c r="XN23" s="957">
        <f t="shared" si="162"/>
        <v>0</v>
      </c>
      <c r="XO23" s="789"/>
      <c r="XP23" s="801">
        <f t="shared" si="163"/>
        <v>0</v>
      </c>
      <c r="XQ23" s="766">
        <f>'[1]Иные межбюджетные трансферты'!M19</f>
        <v>0</v>
      </c>
      <c r="XR23" s="957">
        <f t="shared" si="164"/>
        <v>0</v>
      </c>
      <c r="XS23" s="770"/>
      <c r="XT23" s="1252">
        <f t="shared" si="165"/>
        <v>0</v>
      </c>
      <c r="XU23" s="783">
        <f t="shared" si="166"/>
        <v>0</v>
      </c>
      <c r="XV23" s="1252">
        <f t="shared" si="167"/>
        <v>0</v>
      </c>
      <c r="XW23" s="783">
        <f t="shared" si="168"/>
        <v>0</v>
      </c>
      <c r="XX23" s="957">
        <f t="shared" si="243"/>
        <v>3562754.8</v>
      </c>
      <c r="XY23" s="787">
        <f>'[1]Иные межбюджетные трансферты'!E19</f>
        <v>0</v>
      </c>
      <c r="XZ23" s="799">
        <f>'[1]Иные межбюджетные трансферты'!G19</f>
        <v>0</v>
      </c>
      <c r="YA23" s="786">
        <f>'[1]Иные межбюджетные трансферты'!Q19</f>
        <v>0</v>
      </c>
      <c r="YB23" s="787">
        <f>'[1]Иные межбюджетные трансферты'!W19</f>
        <v>0</v>
      </c>
      <c r="YC23" s="786">
        <f>'[1]Иные межбюджетные трансферты'!Y19</f>
        <v>0</v>
      </c>
      <c r="YD23" s="1116">
        <f>'[1]Иные межбюджетные трансферты'!AE19</f>
        <v>616390</v>
      </c>
      <c r="YE23" s="786">
        <f>'[1]Иные межбюджетные трансферты'!AQ19</f>
        <v>0</v>
      </c>
      <c r="YF23" s="766">
        <f>'[1]Иные межбюджетные трансферты'!AW19</f>
        <v>0</v>
      </c>
      <c r="YG23" s="786">
        <f>'[1]Иные межбюджетные трансферты'!AY19</f>
        <v>0</v>
      </c>
      <c r="YH23" s="1116">
        <f>'[1]Иные межбюджетные трансферты'!BA19</f>
        <v>2946364.8</v>
      </c>
      <c r="YI23" s="957">
        <f t="shared" si="244"/>
        <v>2321238.8200000003</v>
      </c>
      <c r="YJ23" s="786"/>
      <c r="YK23" s="786"/>
      <c r="YL23" s="755"/>
      <c r="YM23" s="786"/>
      <c r="YN23" s="751">
        <f t="shared" si="245"/>
        <v>0</v>
      </c>
      <c r="YO23" s="751">
        <v>597345.72</v>
      </c>
      <c r="YP23" s="751"/>
      <c r="YQ23" s="751"/>
      <c r="YR23" s="751"/>
      <c r="YS23" s="751">
        <v>1723893.1</v>
      </c>
      <c r="YT23" s="957">
        <f t="shared" si="169"/>
        <v>42438206.080000006</v>
      </c>
      <c r="YU23" s="799">
        <f>'[1]Иные межбюджетные трансферты'!S19</f>
        <v>5759637.5899999999</v>
      </c>
      <c r="YV23" s="786">
        <f>'[1]Иные межбюджетные трансферты'!AA19</f>
        <v>0</v>
      </c>
      <c r="YW23" s="1116">
        <f>'[1]Иные межбюджетные трансферты'!AG19</f>
        <v>23482111.780000001</v>
      </c>
      <c r="YX23" s="787">
        <f>'[1]Иные межбюджетные трансферты'!AS19</f>
        <v>10789701.5</v>
      </c>
      <c r="YY23" s="751">
        <f>'[1]Иные межбюджетные трансферты'!BC19</f>
        <v>2406755.21</v>
      </c>
      <c r="YZ23" s="957">
        <f t="shared" si="170"/>
        <v>4657880</v>
      </c>
      <c r="ZA23" s="769">
        <f>2190000+2467880</f>
        <v>4657880</v>
      </c>
      <c r="ZB23" s="769">
        <f t="shared" si="246"/>
        <v>0</v>
      </c>
      <c r="ZC23" s="769"/>
      <c r="ZD23" s="751"/>
      <c r="ZE23" s="751"/>
      <c r="ZF23" s="783">
        <f t="shared" si="171"/>
        <v>42438206.080000006</v>
      </c>
      <c r="ZG23" s="763">
        <f>'Проверочная  таблица'!YU23-ZS23</f>
        <v>5759637.5899999999</v>
      </c>
      <c r="ZH23" s="763">
        <f>'Проверочная  таблица'!YV23-ZT23</f>
        <v>0</v>
      </c>
      <c r="ZI23" s="763">
        <f>'Проверочная  таблица'!YW23-ZU23</f>
        <v>23482111.780000001</v>
      </c>
      <c r="ZJ23" s="763">
        <f>'Проверочная  таблица'!YX23-ZV23</f>
        <v>10789701.5</v>
      </c>
      <c r="ZK23" s="763">
        <f>'Проверочная  таблица'!YY23-ZW23</f>
        <v>2406755.21</v>
      </c>
      <c r="ZL23" s="783">
        <f t="shared" si="172"/>
        <v>4657880</v>
      </c>
      <c r="ZM23" s="763">
        <f>'Проверочная  таблица'!ZA23-ZY23</f>
        <v>4657880</v>
      </c>
      <c r="ZN23" s="763">
        <f>'Проверочная  таблица'!ZB23-ZZ23</f>
        <v>0</v>
      </c>
      <c r="ZO23" s="763">
        <f>'Проверочная  таблица'!ZC23-AAA23</f>
        <v>0</v>
      </c>
      <c r="ZP23" s="763">
        <f>'Проверочная  таблица'!ZD23-AAB23</f>
        <v>0</v>
      </c>
      <c r="ZQ23" s="763">
        <f>'Проверочная  таблица'!ZE23-AAC23</f>
        <v>0</v>
      </c>
      <c r="ZR23" s="783">
        <f t="shared" si="173"/>
        <v>0</v>
      </c>
      <c r="ZS23" s="799">
        <f>'[1]Иные межбюджетные трансферты'!U19</f>
        <v>0</v>
      </c>
      <c r="ZT23" s="786">
        <f>'[1]Иные межбюджетные трансферты'!AC19</f>
        <v>0</v>
      </c>
      <c r="ZU23" s="787"/>
      <c r="ZV23" s="799">
        <f>'[1]Иные межбюджетные трансферты'!AU19</f>
        <v>0</v>
      </c>
      <c r="ZW23" s="751"/>
      <c r="ZX23" s="783">
        <f t="shared" si="174"/>
        <v>0</v>
      </c>
      <c r="ZY23" s="769"/>
      <c r="ZZ23" s="769">
        <f t="shared" si="247"/>
        <v>0</v>
      </c>
      <c r="AAA23" s="769"/>
      <c r="AAB23" s="751"/>
      <c r="AAC23" s="751"/>
      <c r="AAD23" s="957">
        <f>AAF23+'Проверочная  таблица'!AAN23+AAJ23+'Проверочная  таблица'!AAR23+AAL23+'Проверочная  таблица'!AAT23</f>
        <v>0</v>
      </c>
      <c r="AAE23" s="957">
        <f>AAG23+'Проверочная  таблица'!AAO23+AAK23+'Проверочная  таблица'!AAS23+AAM23+'Проверочная  таблица'!AAU23</f>
        <v>0</v>
      </c>
      <c r="AAF23" s="801"/>
      <c r="AAG23" s="801"/>
      <c r="AAH23" s="801"/>
      <c r="AAI23" s="801"/>
      <c r="AAJ23" s="1235">
        <f t="shared" si="175"/>
        <v>0</v>
      </c>
      <c r="AAK23" s="783">
        <f t="shared" si="175"/>
        <v>0</v>
      </c>
      <c r="AAL23" s="802"/>
      <c r="AAM23" s="783"/>
      <c r="AAN23" s="801"/>
      <c r="AAO23" s="801"/>
      <c r="AAP23" s="801"/>
      <c r="AAQ23" s="801"/>
      <c r="AAR23" s="1235">
        <f t="shared" si="176"/>
        <v>0</v>
      </c>
      <c r="AAS23" s="783">
        <f t="shared" si="176"/>
        <v>0</v>
      </c>
      <c r="AAT23" s="783"/>
      <c r="AAU23" s="783"/>
      <c r="AAV23" s="1246">
        <f>'Проверочная  таблица'!AAN23+'Проверочная  таблица'!AAP23</f>
        <v>0</v>
      </c>
      <c r="AAW23" s="1246">
        <f>'Проверочная  таблица'!AAO23+'Проверочная  таблица'!AAQ23</f>
        <v>0</v>
      </c>
    </row>
    <row r="24" spans="1:725" ht="24" customHeight="1" x14ac:dyDescent="0.25">
      <c r="A24" s="803" t="s">
        <v>1312</v>
      </c>
      <c r="B24" s="801">
        <f>D24+AN24+'Проверочная  таблица'!VJ24+'Проверочная  таблица'!WR24</f>
        <v>2925694941.3400002</v>
      </c>
      <c r="C24" s="957">
        <f>E24+'Проверочная  таблица'!VM24+AO24+'Проверочная  таблица'!WS24</f>
        <v>1098740389.0599999</v>
      </c>
      <c r="D24" s="1234">
        <f t="shared" si="0"/>
        <v>750010643.01999998</v>
      </c>
      <c r="E24" s="801">
        <f t="shared" si="1"/>
        <v>286721900</v>
      </c>
      <c r="F24" s="1238">
        <f>'[1]Дотация  из  ОБ_факт'!M18</f>
        <v>110073841</v>
      </c>
      <c r="G24" s="1247">
        <v>78636800</v>
      </c>
      <c r="H24" s="1238">
        <f>'[1]Дотация  из  ОБ_факт'!G18</f>
        <v>26240093.02</v>
      </c>
      <c r="I24" s="1247">
        <v>13119600</v>
      </c>
      <c r="J24" s="1248">
        <f t="shared" si="2"/>
        <v>26240093.02</v>
      </c>
      <c r="K24" s="1249">
        <f t="shared" si="2"/>
        <v>13119600</v>
      </c>
      <c r="L24" s="1248">
        <f>'[1]Дотация  из  ОБ_факт'!K18</f>
        <v>0</v>
      </c>
      <c r="M24" s="785"/>
      <c r="N24" s="1238">
        <f>'[1]Дотация  из  ОБ_факт'!Q18</f>
        <v>100000000</v>
      </c>
      <c r="O24" s="1247"/>
      <c r="P24" s="1238">
        <f>'[1]Дотация  из  ОБ_факт'!S18</f>
        <v>511469959.00000006</v>
      </c>
      <c r="Q24" s="1247">
        <v>193465500</v>
      </c>
      <c r="R24" s="1248">
        <f t="shared" si="3"/>
        <v>51665057.00000006</v>
      </c>
      <c r="S24" s="1249">
        <f t="shared" si="3"/>
        <v>27017400</v>
      </c>
      <c r="T24" s="1248">
        <f>'[1]Дотация  из  ОБ_факт'!W18</f>
        <v>459804902</v>
      </c>
      <c r="U24" s="785">
        <v>166448100</v>
      </c>
      <c r="V24" s="790">
        <f t="shared" si="4"/>
        <v>1500000</v>
      </c>
      <c r="W24" s="1250">
        <f>'[1]Дотация  из  ОБ_факт'!AA18</f>
        <v>0</v>
      </c>
      <c r="X24" s="1251">
        <f>'[1]Дотация  из  ОБ_факт'!AC18</f>
        <v>1500000</v>
      </c>
      <c r="Y24" s="1251">
        <f>'[1]Дотация  из  ОБ_факт'!AG18</f>
        <v>0</v>
      </c>
      <c r="Z24" s="791">
        <f t="shared" si="5"/>
        <v>1500000</v>
      </c>
      <c r="AA24" s="751">
        <f t="shared" si="180"/>
        <v>0</v>
      </c>
      <c r="AB24" s="751">
        <f t="shared" si="180"/>
        <v>1500000</v>
      </c>
      <c r="AC24" s="786"/>
      <c r="AD24" s="790">
        <f t="shared" si="6"/>
        <v>726750</v>
      </c>
      <c r="AE24" s="1250">
        <f>'[1]Дотация  из  ОБ_факт'!Y18</f>
        <v>726750</v>
      </c>
      <c r="AF24" s="1251">
        <f>'[1]Дотация  из  ОБ_факт'!AE18</f>
        <v>0</v>
      </c>
      <c r="AG24" s="790">
        <f t="shared" si="7"/>
        <v>0</v>
      </c>
      <c r="AH24" s="787"/>
      <c r="AI24" s="786"/>
      <c r="AJ24" s="1248">
        <f t="shared" si="8"/>
        <v>726750</v>
      </c>
      <c r="AK24" s="1249">
        <f t="shared" si="9"/>
        <v>0</v>
      </c>
      <c r="AL24" s="1248">
        <f>'[1]Дотация  из  ОБ_факт'!AE18</f>
        <v>0</v>
      </c>
      <c r="AM24" s="788"/>
      <c r="AN24" s="919">
        <f>'Проверочная  таблица'!VB24+'Проверочная  таблица'!VD24+BT24+BV24+CH24+CJ24+BH24+BL24+'Проверочная  таблица'!NB24+'Проверочная  таблица'!NR24+'Проверочная  таблица'!EB24+'Проверочная  таблица'!OJ24+DT24+'Проверочная  таблица'!JR24+'Проверочная  таблица'!JX24+'Проверочная  таблица'!OR24+'Проверочная  таблица'!OZ24+JL24+AP24+AV24+FB24+FH24+CV24+SX24+EH24+TL24+QH24+EN24+EV24+LV24+MD24+SR24+GV24+SD24+RF24+KP24+KZ24+RL24+SJ24+CP24+QZ24+HL24+GF24+HR24+HX24+FZ24+DJ24+PX24+CB24+IP24+JF24+HD24+GL24+IV24</f>
        <v>1480574765.78</v>
      </c>
      <c r="AO24" s="920">
        <f>'Проверочная  таблица'!VC24+'Проверочная  таблица'!VE24+BU24+BW24+CI24+CK24+BJ24+BN24+'Проверочная  таблица'!NJ24+'Проверочная  таблица'!NU24+'Проверочная  таблица'!EE24+'Проверочная  таблица'!ON24+DX24+'Проверочная  таблица'!JU24+'Проверочная  таблица'!KA24+'Проверочная  таблица'!OV24+'Проверочная  таблица'!PD24+JO24+AS24+AX24+FE24+FK24+DC24+TE24+EK24+TS24+QK24+ER24+EY24+LZ24+MH24+SU24+GZ24+SG24+RI24+KU24+LE24+RO24+SN24+CS24+RC24+HO24+GI24+HU24+IA24+GC24+DM24+QC24+CE24+IS24+JI24+HF24+GO24+IY24</f>
        <v>467777174.34999996</v>
      </c>
      <c r="AP24" s="921">
        <f t="shared" si="10"/>
        <v>188669450.18000001</v>
      </c>
      <c r="AQ24" s="789">
        <f>[1]Субсидия_факт!HV20</f>
        <v>188669450.18000001</v>
      </c>
      <c r="AR24" s="770">
        <f>[1]Субсидия_факт!MR20</f>
        <v>0</v>
      </c>
      <c r="AS24" s="921">
        <f t="shared" si="11"/>
        <v>49956019.969999999</v>
      </c>
      <c r="AT24" s="770">
        <v>49956019.969999999</v>
      </c>
      <c r="AU24" s="789"/>
      <c r="AV24" s="910">
        <f t="shared" si="12"/>
        <v>18024576.300000001</v>
      </c>
      <c r="AW24" s="770">
        <f>[1]Субсидия_факт!MV20</f>
        <v>18024576.300000001</v>
      </c>
      <c r="AX24" s="1224">
        <f t="shared" si="13"/>
        <v>0</v>
      </c>
      <c r="AY24" s="770"/>
      <c r="AZ24" s="1225">
        <f t="shared" si="14"/>
        <v>18024576.300000001</v>
      </c>
      <c r="BA24" s="770">
        <f t="shared" si="15"/>
        <v>18024576.300000001</v>
      </c>
      <c r="BB24" s="783">
        <f t="shared" si="16"/>
        <v>0</v>
      </c>
      <c r="BC24" s="789">
        <f t="shared" si="17"/>
        <v>0</v>
      </c>
      <c r="BD24" s="782">
        <f t="shared" si="18"/>
        <v>0</v>
      </c>
      <c r="BE24" s="770">
        <f>[1]Субсидия_факт!MX20</f>
        <v>0</v>
      </c>
      <c r="BF24" s="802">
        <f t="shared" si="19"/>
        <v>0</v>
      </c>
      <c r="BG24" s="770"/>
      <c r="BH24" s="801">
        <f t="shared" si="20"/>
        <v>0</v>
      </c>
      <c r="BI24" s="770">
        <f>[1]Субсидия_факт!KZ20</f>
        <v>0</v>
      </c>
      <c r="BJ24" s="957">
        <f t="shared" si="21"/>
        <v>0</v>
      </c>
      <c r="BK24" s="770"/>
      <c r="BL24" s="801">
        <f t="shared" si="22"/>
        <v>59325881.299999997</v>
      </c>
      <c r="BM24" s="770">
        <f>[1]Субсидия_факт!LB20</f>
        <v>59325881.299999997</v>
      </c>
      <c r="BN24" s="957">
        <f t="shared" si="23"/>
        <v>59325881.299999997</v>
      </c>
      <c r="BO24" s="770">
        <v>59325881.299999997</v>
      </c>
      <c r="BP24" s="1235">
        <f t="shared" si="24"/>
        <v>0</v>
      </c>
      <c r="BQ24" s="783">
        <f t="shared" si="25"/>
        <v>0</v>
      </c>
      <c r="BR24" s="1252">
        <f t="shared" si="26"/>
        <v>59325881.299999997</v>
      </c>
      <c r="BS24" s="1235">
        <f t="shared" si="27"/>
        <v>59325881.299999997</v>
      </c>
      <c r="BT24" s="801">
        <f>[1]Субсидия_факт!GV20</f>
        <v>0</v>
      </c>
      <c r="BU24" s="790"/>
      <c r="BV24" s="1253">
        <f>[1]Субсидия_факт!GX20</f>
        <v>0</v>
      </c>
      <c r="BW24" s="791"/>
      <c r="BX24" s="1252">
        <f t="shared" si="28"/>
        <v>0</v>
      </c>
      <c r="BY24" s="1235">
        <f t="shared" si="28"/>
        <v>0</v>
      </c>
      <c r="BZ24" s="783">
        <f>[1]Субсидия_факт!GZ20</f>
        <v>0</v>
      </c>
      <c r="CA24" s="785"/>
      <c r="CB24" s="846">
        <f t="shared" si="29"/>
        <v>209151450.18000001</v>
      </c>
      <c r="CC24" s="766">
        <f>[1]Субсидия_факт!HL20</f>
        <v>188669450.18000001</v>
      </c>
      <c r="CD24" s="770">
        <f>[1]Субсидия_факт!HN20</f>
        <v>20482000</v>
      </c>
      <c r="CE24" s="921">
        <f t="shared" si="30"/>
        <v>0</v>
      </c>
      <c r="CF24" s="770"/>
      <c r="CG24" s="770"/>
      <c r="CH24" s="957">
        <f>[1]Субсидия_факт!HB20</f>
        <v>0</v>
      </c>
      <c r="CI24" s="792"/>
      <c r="CJ24" s="957">
        <f>[1]Субсидия_факт!HD20</f>
        <v>0</v>
      </c>
      <c r="CK24" s="791"/>
      <c r="CL24" s="1226">
        <f t="shared" si="31"/>
        <v>0</v>
      </c>
      <c r="CM24" s="782">
        <f t="shared" si="31"/>
        <v>0</v>
      </c>
      <c r="CN24" s="1225">
        <f>[1]Субсидия_факт!HF20</f>
        <v>0</v>
      </c>
      <c r="CO24" s="753"/>
      <c r="CP24" s="846">
        <f t="shared" si="32"/>
        <v>71502602.329999998</v>
      </c>
      <c r="CQ24" s="766">
        <f>[1]Субсидия_факт!HP20</f>
        <v>59302390</v>
      </c>
      <c r="CR24" s="770">
        <f>[1]Субсидия_факт!HR20</f>
        <v>12200212.33</v>
      </c>
      <c r="CS24" s="921">
        <f t="shared" si="33"/>
        <v>0</v>
      </c>
      <c r="CT24" s="770"/>
      <c r="CU24" s="770"/>
      <c r="CV24" s="910">
        <f t="shared" si="34"/>
        <v>0</v>
      </c>
      <c r="CW24" s="763">
        <f>[1]Субсидия_факт!LR20</f>
        <v>0</v>
      </c>
      <c r="CX24" s="762">
        <f>[1]Субсидия_факт!LT20</f>
        <v>0</v>
      </c>
      <c r="CY24" s="754">
        <f>[1]Субсидия_факт!LV20</f>
        <v>0</v>
      </c>
      <c r="CZ24" s="762">
        <f>[1]Субсидия_факт!MB20</f>
        <v>0</v>
      </c>
      <c r="DA24" s="754">
        <f>[1]Субсидия_факт!MH20</f>
        <v>0</v>
      </c>
      <c r="DB24" s="762">
        <f>[1]Субсидия_факт!MJ20</f>
        <v>0</v>
      </c>
      <c r="DC24" s="910">
        <f t="shared" si="35"/>
        <v>0</v>
      </c>
      <c r="DD24" s="755"/>
      <c r="DE24" s="762"/>
      <c r="DF24" s="754"/>
      <c r="DG24" s="762"/>
      <c r="DH24" s="754"/>
      <c r="DI24" s="762"/>
      <c r="DJ24" s="920">
        <f t="shared" si="205"/>
        <v>0</v>
      </c>
      <c r="DK24" s="763">
        <f>[1]Субсидия_факт!LX20</f>
        <v>0</v>
      </c>
      <c r="DL24" s="762">
        <f>[1]Субсидия_факт!MD20</f>
        <v>0</v>
      </c>
      <c r="DM24" s="910">
        <f t="shared" si="37"/>
        <v>0</v>
      </c>
      <c r="DN24" s="763"/>
      <c r="DO24" s="764"/>
      <c r="DP24" s="1226">
        <f t="shared" si="206"/>
        <v>0</v>
      </c>
      <c r="DQ24" s="782">
        <f t="shared" si="207"/>
        <v>0</v>
      </c>
      <c r="DR24" s="1225">
        <f t="shared" si="208"/>
        <v>0</v>
      </c>
      <c r="DS24" s="753">
        <f t="shared" si="209"/>
        <v>0</v>
      </c>
      <c r="DT24" s="957">
        <f t="shared" si="210"/>
        <v>0</v>
      </c>
      <c r="DU24" s="789">
        <f>[1]Субсидия_факт!R20</f>
        <v>0</v>
      </c>
      <c r="DV24" s="766">
        <f>[1]Субсидия_факт!T20</f>
        <v>0</v>
      </c>
      <c r="DW24" s="770">
        <f>[1]Субсидия_факт!V20</f>
        <v>0</v>
      </c>
      <c r="DX24" s="957">
        <f t="shared" si="211"/>
        <v>0</v>
      </c>
      <c r="DY24" s="806"/>
      <c r="DZ24" s="806"/>
      <c r="EA24" s="806"/>
      <c r="EB24" s="846">
        <f t="shared" si="38"/>
        <v>0</v>
      </c>
      <c r="EC24" s="766">
        <f>[1]Субсидия_факт!AX20</f>
        <v>0</v>
      </c>
      <c r="ED24" s="767">
        <f>[1]Субсидия_факт!AZ20</f>
        <v>0</v>
      </c>
      <c r="EE24" s="957">
        <f t="shared" si="39"/>
        <v>0</v>
      </c>
      <c r="EF24" s="789"/>
      <c r="EG24" s="793"/>
      <c r="EH24" s="801">
        <f t="shared" si="40"/>
        <v>0</v>
      </c>
      <c r="EI24" s="766">
        <f>[1]Субсидия_факт!X20</f>
        <v>0</v>
      </c>
      <c r="EJ24" s="767">
        <f>[1]Субсидия_факт!Z20</f>
        <v>0</v>
      </c>
      <c r="EK24" s="957">
        <f t="shared" si="41"/>
        <v>0</v>
      </c>
      <c r="EL24" s="766"/>
      <c r="EM24" s="767"/>
      <c r="EN24" s="920">
        <f t="shared" si="212"/>
        <v>0</v>
      </c>
      <c r="EO24" s="763">
        <f>[1]Субсидия_факт!AP20</f>
        <v>0</v>
      </c>
      <c r="EP24" s="763">
        <f>[1]Субсидия_факт!AL20</f>
        <v>0</v>
      </c>
      <c r="EQ24" s="764">
        <f>[1]Субсидия_факт!AN20</f>
        <v>0</v>
      </c>
      <c r="ER24" s="920">
        <f t="shared" si="42"/>
        <v>0</v>
      </c>
      <c r="ES24" s="763"/>
      <c r="ET24" s="763"/>
      <c r="EU24" s="764"/>
      <c r="EV24" s="920">
        <f t="shared" si="43"/>
        <v>0</v>
      </c>
      <c r="EW24" s="763">
        <f>[1]Субсидия_факт!HH20</f>
        <v>0</v>
      </c>
      <c r="EX24" s="762">
        <f>[1]Субсидия_факт!HJ20</f>
        <v>0</v>
      </c>
      <c r="EY24" s="910">
        <f t="shared" si="44"/>
        <v>0</v>
      </c>
      <c r="EZ24" s="763"/>
      <c r="FA24" s="762"/>
      <c r="FB24" s="920">
        <f t="shared" si="45"/>
        <v>0</v>
      </c>
      <c r="FC24" s="766">
        <f>[1]Субсидия_факт!PK20</f>
        <v>0</v>
      </c>
      <c r="FD24" s="767">
        <f>[1]Субсидия_факт!PQ20</f>
        <v>0</v>
      </c>
      <c r="FE24" s="910">
        <f t="shared" si="46"/>
        <v>0</v>
      </c>
      <c r="FF24" s="763"/>
      <c r="FG24" s="764"/>
      <c r="FH24" s="920">
        <f t="shared" si="47"/>
        <v>0</v>
      </c>
      <c r="FI24" s="763">
        <f>[1]Субсидия_факт!PM20</f>
        <v>0</v>
      </c>
      <c r="FJ24" s="762">
        <f>[1]Субсидия_факт!PS20</f>
        <v>0</v>
      </c>
      <c r="FK24" s="910">
        <f t="shared" si="48"/>
        <v>0</v>
      </c>
      <c r="FL24" s="763"/>
      <c r="FM24" s="764"/>
      <c r="FN24" s="1233">
        <f t="shared" si="49"/>
        <v>0</v>
      </c>
      <c r="FO24" s="763">
        <f t="shared" si="50"/>
        <v>0</v>
      </c>
      <c r="FP24" s="762">
        <f t="shared" si="50"/>
        <v>0</v>
      </c>
      <c r="FQ24" s="782">
        <f t="shared" si="51"/>
        <v>0</v>
      </c>
      <c r="FR24" s="763">
        <f t="shared" si="52"/>
        <v>0</v>
      </c>
      <c r="FS24" s="762">
        <f t="shared" si="52"/>
        <v>0</v>
      </c>
      <c r="FT24" s="1233">
        <f t="shared" si="53"/>
        <v>0</v>
      </c>
      <c r="FU24" s="763">
        <f>[1]Субсидия_факт!PO20</f>
        <v>0</v>
      </c>
      <c r="FV24" s="762">
        <f>[1]Субсидия_факт!PU20</f>
        <v>0</v>
      </c>
      <c r="FW24" s="782">
        <f t="shared" si="54"/>
        <v>0</v>
      </c>
      <c r="FX24" s="763"/>
      <c r="FY24" s="764"/>
      <c r="FZ24" s="920">
        <f t="shared" si="55"/>
        <v>0</v>
      </c>
      <c r="GA24" s="766">
        <f>[1]Субсидия_факт!EP20</f>
        <v>0</v>
      </c>
      <c r="GB24" s="767">
        <f>[1]Субсидия_факт!ER20</f>
        <v>0</v>
      </c>
      <c r="GC24" s="1234">
        <f t="shared" si="56"/>
        <v>0</v>
      </c>
      <c r="GD24" s="766"/>
      <c r="GE24" s="767"/>
      <c r="GF24" s="801">
        <f t="shared" si="57"/>
        <v>20859584.209999979</v>
      </c>
      <c r="GG24" s="766">
        <f>[1]Субсидия_факт!JN20</f>
        <v>20859584.209999979</v>
      </c>
      <c r="GH24" s="767">
        <f>[1]Субсидия_факт!JP20</f>
        <v>0</v>
      </c>
      <c r="GI24" s="801">
        <f t="shared" si="58"/>
        <v>0</v>
      </c>
      <c r="GJ24" s="766"/>
      <c r="GK24" s="767"/>
      <c r="GL24" s="1235">
        <f t="shared" si="59"/>
        <v>87446506</v>
      </c>
      <c r="GM24" s="763">
        <f>[1]Субсидия_факт!JR20</f>
        <v>10402506</v>
      </c>
      <c r="GN24" s="764">
        <f>[1]Субсидия_факт!JV20</f>
        <v>77044000</v>
      </c>
      <c r="GO24" s="1235">
        <f t="shared" si="60"/>
        <v>0</v>
      </c>
      <c r="GP24" s="766"/>
      <c r="GQ24" s="793"/>
      <c r="GR24" s="1235">
        <f t="shared" si="213"/>
        <v>0</v>
      </c>
      <c r="GS24" s="783">
        <f t="shared" si="214"/>
        <v>0</v>
      </c>
      <c r="GT24" s="1252">
        <f t="shared" si="215"/>
        <v>87446506</v>
      </c>
      <c r="GU24" s="783">
        <f t="shared" si="216"/>
        <v>0</v>
      </c>
      <c r="GV24" s="1234">
        <f t="shared" si="61"/>
        <v>59325881.299999997</v>
      </c>
      <c r="GW24" s="766">
        <f>[1]Субсидия_факт!KL20</f>
        <v>0</v>
      </c>
      <c r="GX24" s="767">
        <f>[1]Субсидия_факт!KN20</f>
        <v>0</v>
      </c>
      <c r="GY24" s="766">
        <f>[1]Субсидия_факт!KP20</f>
        <v>59325881.299999997</v>
      </c>
      <c r="GZ24" s="801">
        <f t="shared" si="62"/>
        <v>0</v>
      </c>
      <c r="HA24" s="766"/>
      <c r="HB24" s="767"/>
      <c r="HC24" s="770"/>
      <c r="HD24" s="1235">
        <f t="shared" si="217"/>
        <v>0</v>
      </c>
      <c r="HE24" s="766">
        <f>[1]Субсидия_факт!KR20</f>
        <v>0</v>
      </c>
      <c r="HF24" s="1235">
        <f t="shared" si="217"/>
        <v>0</v>
      </c>
      <c r="HG24" s="770"/>
      <c r="HH24" s="1235">
        <f t="shared" si="218"/>
        <v>0</v>
      </c>
      <c r="HI24" s="1235">
        <f t="shared" si="219"/>
        <v>0</v>
      </c>
      <c r="HJ24" s="1235">
        <f t="shared" si="220"/>
        <v>0</v>
      </c>
      <c r="HK24" s="1235">
        <f t="shared" si="221"/>
        <v>0</v>
      </c>
      <c r="HL24" s="801">
        <f t="shared" si="63"/>
        <v>8910961.3400000017</v>
      </c>
      <c r="HM24" s="766">
        <f>[1]Субсидия_факт!KV20</f>
        <v>8910961.3400000017</v>
      </c>
      <c r="HN24" s="767">
        <f>[1]Субсидия_факт!KX20</f>
        <v>0</v>
      </c>
      <c r="HO24" s="957">
        <f t="shared" si="64"/>
        <v>0</v>
      </c>
      <c r="HP24" s="766"/>
      <c r="HQ24" s="767"/>
      <c r="HR24" s="801">
        <f t="shared" si="65"/>
        <v>0</v>
      </c>
      <c r="HS24" s="766"/>
      <c r="HT24" s="767"/>
      <c r="HU24" s="957">
        <f t="shared" si="66"/>
        <v>0</v>
      </c>
      <c r="HV24" s="766"/>
      <c r="HW24" s="767"/>
      <c r="HX24" s="801">
        <f t="shared" si="67"/>
        <v>821052.83999999985</v>
      </c>
      <c r="HY24" s="766">
        <f>[1]Субсидия_факт!FV20</f>
        <v>0</v>
      </c>
      <c r="HZ24" s="767">
        <f>[1]Субсидия_факт!FZ20</f>
        <v>821052.83999999985</v>
      </c>
      <c r="IA24" s="957">
        <f t="shared" si="68"/>
        <v>0</v>
      </c>
      <c r="IB24" s="766"/>
      <c r="IC24" s="767"/>
      <c r="ID24" s="1233">
        <f t="shared" si="69"/>
        <v>0</v>
      </c>
      <c r="IE24" s="763">
        <f t="shared" si="70"/>
        <v>-821052.83999999985</v>
      </c>
      <c r="IF24" s="762">
        <f t="shared" si="70"/>
        <v>821052.83999999985</v>
      </c>
      <c r="IG24" s="782">
        <f t="shared" si="71"/>
        <v>0</v>
      </c>
      <c r="IH24" s="763">
        <f t="shared" si="72"/>
        <v>0</v>
      </c>
      <c r="II24" s="762">
        <f t="shared" si="72"/>
        <v>0</v>
      </c>
      <c r="IJ24" s="1233">
        <f t="shared" si="73"/>
        <v>821052.83999999985</v>
      </c>
      <c r="IK24" s="763">
        <f>[1]Субсидия_факт!FX20</f>
        <v>821052.83999999985</v>
      </c>
      <c r="IL24" s="762">
        <f>[1]Субсидия_факт!GB20</f>
        <v>0</v>
      </c>
      <c r="IM24" s="782">
        <f t="shared" si="74"/>
        <v>0</v>
      </c>
      <c r="IN24" s="763">
        <f t="shared" si="188"/>
        <v>0</v>
      </c>
      <c r="IO24" s="764">
        <f t="shared" si="189"/>
        <v>0</v>
      </c>
      <c r="IP24" s="801">
        <f t="shared" si="75"/>
        <v>0</v>
      </c>
      <c r="IQ24" s="763">
        <f>[1]Субсидия_факт!ED20</f>
        <v>0</v>
      </c>
      <c r="IR24" s="764">
        <f>[1]Субсидия_факт!EF20</f>
        <v>0</v>
      </c>
      <c r="IS24" s="957">
        <f t="shared" si="76"/>
        <v>0</v>
      </c>
      <c r="IT24" s="766"/>
      <c r="IU24" s="767"/>
      <c r="IV24" s="1259">
        <f t="shared" si="77"/>
        <v>0</v>
      </c>
      <c r="IW24" s="763">
        <f>[1]Субсидия_факт!EH20</f>
        <v>0</v>
      </c>
      <c r="IX24" s="764">
        <f>[1]Субсидия_факт!EL20</f>
        <v>0</v>
      </c>
      <c r="IY24" s="1254">
        <f t="shared" si="78"/>
        <v>0</v>
      </c>
      <c r="IZ24" s="766"/>
      <c r="JA24" s="793"/>
      <c r="JB24" s="1235">
        <f t="shared" si="222"/>
        <v>0</v>
      </c>
      <c r="JC24" s="1235">
        <f t="shared" si="223"/>
        <v>0</v>
      </c>
      <c r="JD24" s="1235">
        <f t="shared" si="224"/>
        <v>0</v>
      </c>
      <c r="JE24" s="783">
        <f t="shared" si="225"/>
        <v>0</v>
      </c>
      <c r="JF24" s="1234">
        <f t="shared" si="79"/>
        <v>0</v>
      </c>
      <c r="JG24" s="763">
        <f>[1]Субсидия_факт!BX20</f>
        <v>0</v>
      </c>
      <c r="JH24" s="764">
        <f>[1]Субсидия_факт!BZ20</f>
        <v>0</v>
      </c>
      <c r="JI24" s="957">
        <f t="shared" si="80"/>
        <v>0</v>
      </c>
      <c r="JJ24" s="766"/>
      <c r="JK24" s="767"/>
      <c r="JL24" s="801">
        <f t="shared" si="81"/>
        <v>0</v>
      </c>
      <c r="JM24" s="766">
        <f>[1]Субсидия_факт!ET20</f>
        <v>0</v>
      </c>
      <c r="JN24" s="767">
        <f>[1]Субсидия_факт!EV20</f>
        <v>0</v>
      </c>
      <c r="JO24" s="957">
        <f t="shared" si="82"/>
        <v>0</v>
      </c>
      <c r="JP24" s="766"/>
      <c r="JQ24" s="767"/>
      <c r="JR24" s="910">
        <f t="shared" si="83"/>
        <v>0</v>
      </c>
      <c r="JS24" s="763">
        <f>[1]Субсидия_факт!EX20</f>
        <v>0</v>
      </c>
      <c r="JT24" s="762">
        <f>[1]Субсидия_факт!FD20</f>
        <v>0</v>
      </c>
      <c r="JU24" s="910">
        <f t="shared" si="84"/>
        <v>0</v>
      </c>
      <c r="JV24" s="763"/>
      <c r="JW24" s="764"/>
      <c r="JX24" s="910">
        <f t="shared" si="85"/>
        <v>0</v>
      </c>
      <c r="JY24" s="763">
        <f>[1]Субсидия_факт!EZ20</f>
        <v>0</v>
      </c>
      <c r="JZ24" s="764">
        <f>[1]Субсидия_факт!FF20</f>
        <v>0</v>
      </c>
      <c r="KA24" s="910">
        <f t="shared" si="86"/>
        <v>0</v>
      </c>
      <c r="KB24" s="754"/>
      <c r="KC24" s="768"/>
      <c r="KD24" s="910">
        <f t="shared" si="87"/>
        <v>-318413.21999999997</v>
      </c>
      <c r="KE24" s="755">
        <f>'Проверочная  таблица'!JY24-'Проверочная  таблица'!KK24</f>
        <v>-82787.439999999973</v>
      </c>
      <c r="KF24" s="764">
        <f>'Проверочная  таблица'!JZ24-'Проверочная  таблица'!KL24</f>
        <v>-235625.78</v>
      </c>
      <c r="KG24" s="1225">
        <f t="shared" si="88"/>
        <v>0</v>
      </c>
      <c r="KH24" s="754">
        <f>'Проверочная  таблица'!KB24-'Проверочная  таблица'!KN24</f>
        <v>0</v>
      </c>
      <c r="KI24" s="771">
        <f>'Проверочная  таблица'!KC24-'Проверочная  таблица'!KO24</f>
        <v>0</v>
      </c>
      <c r="KJ24" s="910">
        <f t="shared" si="89"/>
        <v>318413.21999999997</v>
      </c>
      <c r="KK24" s="763">
        <f>[1]Субсидия_факт!FB20</f>
        <v>82787.439999999973</v>
      </c>
      <c r="KL24" s="762">
        <f>[1]Субсидия_факт!FH20</f>
        <v>235625.78</v>
      </c>
      <c r="KM24" s="782">
        <f t="shared" si="90"/>
        <v>0</v>
      </c>
      <c r="KN24" s="763"/>
      <c r="KO24" s="764"/>
      <c r="KP24" s="1217">
        <f t="shared" si="226"/>
        <v>793449.19</v>
      </c>
      <c r="KQ24" s="754">
        <f>[1]Субсидия_факт!OD20</f>
        <v>387900</v>
      </c>
      <c r="KR24" s="764">
        <f>[1]Субсидия_факт!OJ20</f>
        <v>317539.19</v>
      </c>
      <c r="KS24" s="754">
        <f>[1]Субсидия_факт!OR20</f>
        <v>31995.83</v>
      </c>
      <c r="KT24" s="764">
        <f>[1]Субсидия_факт!OT20</f>
        <v>56014.17</v>
      </c>
      <c r="KU24" s="1217">
        <f t="shared" si="91"/>
        <v>0</v>
      </c>
      <c r="KV24" s="754"/>
      <c r="KW24" s="764"/>
      <c r="KX24" s="754"/>
      <c r="KY24" s="764"/>
      <c r="KZ24" s="1217">
        <f t="shared" si="227"/>
        <v>31410</v>
      </c>
      <c r="LA24" s="789">
        <f>[1]Субсидия_факт!OF20</f>
        <v>31410</v>
      </c>
      <c r="LB24" s="767">
        <f>[1]Субсидия_факт!OL20</f>
        <v>0</v>
      </c>
      <c r="LC24" s="789"/>
      <c r="LD24" s="767"/>
      <c r="LE24" s="1217">
        <f t="shared" si="92"/>
        <v>0</v>
      </c>
      <c r="LF24" s="754"/>
      <c r="LG24" s="764"/>
      <c r="LH24" s="754"/>
      <c r="LI24" s="764"/>
      <c r="LJ24" s="1219">
        <f t="shared" si="93"/>
        <v>-25190</v>
      </c>
      <c r="LK24" s="789">
        <f t="shared" si="94"/>
        <v>-25190</v>
      </c>
      <c r="LL24" s="767">
        <f t="shared" si="94"/>
        <v>0</v>
      </c>
      <c r="LM24" s="1219">
        <f t="shared" si="95"/>
        <v>0</v>
      </c>
      <c r="LN24" s="789">
        <f t="shared" si="96"/>
        <v>0</v>
      </c>
      <c r="LO24" s="767">
        <f t="shared" si="96"/>
        <v>0</v>
      </c>
      <c r="LP24" s="1219">
        <f t="shared" si="97"/>
        <v>56600</v>
      </c>
      <c r="LQ24" s="763">
        <f>[1]Субсидия_факт!OH20</f>
        <v>56600</v>
      </c>
      <c r="LR24" s="762">
        <f>[1]Субсидия_факт!ON20</f>
        <v>0</v>
      </c>
      <c r="LS24" s="1219">
        <f t="shared" si="98"/>
        <v>0</v>
      </c>
      <c r="LT24" s="755"/>
      <c r="LU24" s="764"/>
      <c r="LV24" s="957">
        <f t="shared" si="228"/>
        <v>0</v>
      </c>
      <c r="LW24" s="769">
        <f>[1]Субсидия_факт!DP20</f>
        <v>0</v>
      </c>
      <c r="LX24" s="754">
        <f>[1]Субсидия_факт!CB20</f>
        <v>0</v>
      </c>
      <c r="LY24" s="764">
        <f>[1]Субсидия_факт!CH20</f>
        <v>0</v>
      </c>
      <c r="LZ24" s="957">
        <f t="shared" si="99"/>
        <v>0</v>
      </c>
      <c r="MA24" s="769"/>
      <c r="MB24" s="754"/>
      <c r="MC24" s="764"/>
      <c r="MD24" s="957">
        <f t="shared" si="229"/>
        <v>0</v>
      </c>
      <c r="ME24" s="769">
        <f>[1]Субсидия_факт!DR20</f>
        <v>0</v>
      </c>
      <c r="MF24" s="754">
        <f>[1]Субсидия_факт!CD20</f>
        <v>0</v>
      </c>
      <c r="MG24" s="764">
        <f>[1]Субсидия_факт!CJ20</f>
        <v>0</v>
      </c>
      <c r="MH24" s="957">
        <f t="shared" si="100"/>
        <v>0</v>
      </c>
      <c r="MI24" s="769"/>
      <c r="MJ24" s="754"/>
      <c r="MK24" s="762"/>
      <c r="ML24" s="783">
        <f t="shared" si="101"/>
        <v>0</v>
      </c>
      <c r="MM24" s="766">
        <f>'Проверочная  таблица'!ME24-MU24</f>
        <v>0</v>
      </c>
      <c r="MN24" s="766">
        <f>'Проверочная  таблица'!MF24-MV24</f>
        <v>0</v>
      </c>
      <c r="MO24" s="767">
        <f>'Проверочная  таблица'!MG24-MW24</f>
        <v>0</v>
      </c>
      <c r="MP24" s="783">
        <f t="shared" si="102"/>
        <v>0</v>
      </c>
      <c r="MQ24" s="766">
        <f>'Проверочная  таблица'!MI24-MY24</f>
        <v>0</v>
      </c>
      <c r="MR24" s="766">
        <f>'Проверочная  таблица'!MJ24-MZ24</f>
        <v>0</v>
      </c>
      <c r="MS24" s="767">
        <f>'Проверочная  таблица'!MK24-NA24</f>
        <v>0</v>
      </c>
      <c r="MT24" s="783">
        <f t="shared" si="103"/>
        <v>0</v>
      </c>
      <c r="MU24" s="754">
        <f>[1]Субсидия_факт!DT20</f>
        <v>0</v>
      </c>
      <c r="MV24" s="754">
        <f>[1]Субсидия_факт!CF20</f>
        <v>0</v>
      </c>
      <c r="MW24" s="764">
        <f>[1]Субсидия_факт!CL20</f>
        <v>0</v>
      </c>
      <c r="MX24" s="783">
        <f t="shared" si="104"/>
        <v>0</v>
      </c>
      <c r="MY24" s="754"/>
      <c r="MZ24" s="754"/>
      <c r="NA24" s="764"/>
      <c r="NB24" s="1224">
        <f t="shared" si="230"/>
        <v>318413.21999999997</v>
      </c>
      <c r="NC24" s="754">
        <f>[1]Субсидия_факт!CN20</f>
        <v>0</v>
      </c>
      <c r="ND24" s="762">
        <f>[1]Субсидия_факт!CP20</f>
        <v>0</v>
      </c>
      <c r="NE24" s="766">
        <f>[1]Субсидия_факт!CR20</f>
        <v>0</v>
      </c>
      <c r="NF24" s="767">
        <f>[1]Субсидия_факт!CT20</f>
        <v>0</v>
      </c>
      <c r="NG24" s="755">
        <f>[1]Субсидия_факт!DV20</f>
        <v>0</v>
      </c>
      <c r="NH24" s="763">
        <f>[1]Субсидия_факт!FJ20</f>
        <v>82787.439999999973</v>
      </c>
      <c r="NI24" s="762">
        <f>[1]Субсидия_факт!FP20</f>
        <v>235625.78</v>
      </c>
      <c r="NJ24" s="910">
        <f t="shared" si="105"/>
        <v>318413.21999999997</v>
      </c>
      <c r="NK24" s="754"/>
      <c r="NL24" s="764"/>
      <c r="NM24" s="770"/>
      <c r="NN24" s="794"/>
      <c r="NO24" s="754"/>
      <c r="NP24" s="754">
        <f t="shared" si="248"/>
        <v>82787.439999999973</v>
      </c>
      <c r="NQ24" s="764">
        <f t="shared" si="248"/>
        <v>235625.78</v>
      </c>
      <c r="NR24" s="910">
        <f t="shared" si="231"/>
        <v>0</v>
      </c>
      <c r="NS24" s="763">
        <f>[1]Субсидия_факт!FL20</f>
        <v>0</v>
      </c>
      <c r="NT24" s="762">
        <f>[1]Субсидия_факт!FR20</f>
        <v>0</v>
      </c>
      <c r="NU24" s="910">
        <f t="shared" si="106"/>
        <v>0</v>
      </c>
      <c r="NV24" s="755"/>
      <c r="NW24" s="764"/>
      <c r="NX24" s="782">
        <f t="shared" si="107"/>
        <v>0</v>
      </c>
      <c r="NY24" s="763">
        <f>'Проверочная  таблица'!NS24-OE24</f>
        <v>0</v>
      </c>
      <c r="NZ24" s="764">
        <f>'Проверочная  таблица'!NT24-OF24</f>
        <v>0</v>
      </c>
      <c r="OA24" s="782">
        <f t="shared" si="108"/>
        <v>0</v>
      </c>
      <c r="OB24" s="754">
        <f>'Проверочная  таблица'!NV24-OH24</f>
        <v>0</v>
      </c>
      <c r="OC24" s="771">
        <f>'Проверочная  таблица'!NW24-OI24</f>
        <v>0</v>
      </c>
      <c r="OD24" s="782">
        <f t="shared" si="232"/>
        <v>0</v>
      </c>
      <c r="OE24" s="763">
        <f>[1]Субсидия_факт!FN20</f>
        <v>0</v>
      </c>
      <c r="OF24" s="762">
        <f>[1]Субсидия_факт!FT20</f>
        <v>0</v>
      </c>
      <c r="OG24" s="782">
        <f t="shared" si="109"/>
        <v>0</v>
      </c>
      <c r="OH24" s="754"/>
      <c r="OI24" s="764"/>
      <c r="OJ24" s="919">
        <f t="shared" si="233"/>
        <v>0</v>
      </c>
      <c r="OK24" s="763">
        <f>[1]Субсидия_факт!AR20</f>
        <v>0</v>
      </c>
      <c r="OL24" s="762">
        <f>[1]Субсидия_факт!AT20</f>
        <v>0</v>
      </c>
      <c r="OM24" s="763">
        <f>[1]Субсидия_факт!AV20</f>
        <v>0</v>
      </c>
      <c r="ON24" s="957">
        <f t="shared" si="110"/>
        <v>0</v>
      </c>
      <c r="OO24" s="770"/>
      <c r="OP24" s="767"/>
      <c r="OQ24" s="770"/>
      <c r="OR24" s="1238">
        <f t="shared" si="111"/>
        <v>30953240.300000001</v>
      </c>
      <c r="OS24" s="763">
        <f>[1]Субсидия_факт!GD20</f>
        <v>15600000</v>
      </c>
      <c r="OT24" s="762">
        <f>[1]Субсидия_факт!GJ20</f>
        <v>15353240.300000001</v>
      </c>
      <c r="OU24" s="770">
        <f>[1]Субсидия_факт!GP20</f>
        <v>0</v>
      </c>
      <c r="OV24" s="1238">
        <f t="shared" si="112"/>
        <v>0</v>
      </c>
      <c r="OW24" s="755"/>
      <c r="OX24" s="764"/>
      <c r="OY24" s="754"/>
      <c r="OZ24" s="1217">
        <f t="shared" si="234"/>
        <v>40803193.760000005</v>
      </c>
      <c r="PA24" s="763">
        <f>[1]Субсидия_факт!GF20</f>
        <v>821052.83999999985</v>
      </c>
      <c r="PB24" s="762">
        <f>[1]Субсидия_факт!GL20</f>
        <v>15600000</v>
      </c>
      <c r="PC24" s="754">
        <f>[1]Субсидия_факт!GR20</f>
        <v>24382140.920000002</v>
      </c>
      <c r="PD24" s="1217">
        <f t="shared" si="113"/>
        <v>13770596.699999999</v>
      </c>
      <c r="PE24" s="754">
        <v>614134.28</v>
      </c>
      <c r="PF24" s="771">
        <v>11668548.42</v>
      </c>
      <c r="PG24" s="754">
        <v>1487914</v>
      </c>
      <c r="PH24" s="1219">
        <f t="shared" si="114"/>
        <v>15353240.300000003</v>
      </c>
      <c r="PI24" s="789">
        <f>'Проверочная  таблица'!PA24-PQ24</f>
        <v>0</v>
      </c>
      <c r="PJ24" s="767">
        <f>'Проверочная  таблица'!PB24-PR24</f>
        <v>0</v>
      </c>
      <c r="PK24" s="770">
        <f>'Проверочная  таблица'!PC24-PS24</f>
        <v>15353240.300000003</v>
      </c>
      <c r="PL24" s="1219">
        <f t="shared" si="235"/>
        <v>1487914</v>
      </c>
      <c r="PM24" s="755">
        <f>'Проверочная  таблица'!PE24-PU24</f>
        <v>0</v>
      </c>
      <c r="PN24" s="764">
        <f>'Проверочная  таблица'!PF24-PV24</f>
        <v>0</v>
      </c>
      <c r="PO24" s="754">
        <f>'Проверочная  таблица'!PG24-PW24</f>
        <v>1487914</v>
      </c>
      <c r="PP24" s="1219">
        <f t="shared" si="115"/>
        <v>25449953.460000001</v>
      </c>
      <c r="PQ24" s="763">
        <f>[1]Субсидия_факт!GH20</f>
        <v>821052.83999999985</v>
      </c>
      <c r="PR24" s="762">
        <f>[1]Субсидия_факт!GN20</f>
        <v>15600000</v>
      </c>
      <c r="PS24" s="763">
        <f>[1]Субсидия_факт!GT20</f>
        <v>9028900.6199999992</v>
      </c>
      <c r="PT24" s="1219">
        <f t="shared" si="116"/>
        <v>12282682.699999999</v>
      </c>
      <c r="PU24" s="755">
        <f t="shared" si="193"/>
        <v>614134.28</v>
      </c>
      <c r="PV24" s="764">
        <f t="shared" si="194"/>
        <v>11668548.42</v>
      </c>
      <c r="PW24" s="763"/>
      <c r="PX24" s="910">
        <f t="shared" si="195"/>
        <v>0</v>
      </c>
      <c r="PY24" s="766">
        <f>[1]Субсидия_факт!JB20</f>
        <v>0</v>
      </c>
      <c r="PZ24" s="767">
        <f>[1]Субсидия_факт!JH20</f>
        <v>0</v>
      </c>
      <c r="QA24" s="766"/>
      <c r="QB24" s="767"/>
      <c r="QC24" s="910">
        <f t="shared" si="196"/>
        <v>0</v>
      </c>
      <c r="QD24" s="770"/>
      <c r="QE24" s="794"/>
      <c r="QF24" s="770"/>
      <c r="QG24" s="794"/>
      <c r="QH24" s="957">
        <f t="shared" si="117"/>
        <v>0</v>
      </c>
      <c r="QI24" s="766">
        <f>[1]Субсидия_факт!JD20</f>
        <v>0</v>
      </c>
      <c r="QJ24" s="767">
        <f>[1]Субсидия_факт!JJ20</f>
        <v>0</v>
      </c>
      <c r="QK24" s="1253">
        <f t="shared" si="118"/>
        <v>0</v>
      </c>
      <c r="QL24" s="770"/>
      <c r="QM24" s="794"/>
      <c r="QN24" s="923">
        <f t="shared" si="236"/>
        <v>0</v>
      </c>
      <c r="QO24" s="770">
        <f t="shared" si="119"/>
        <v>0</v>
      </c>
      <c r="QP24" s="767">
        <f t="shared" si="119"/>
        <v>0</v>
      </c>
      <c r="QQ24" s="1235">
        <f t="shared" si="120"/>
        <v>0</v>
      </c>
      <c r="QR24" s="766">
        <f t="shared" si="121"/>
        <v>0</v>
      </c>
      <c r="QS24" s="767">
        <f t="shared" si="121"/>
        <v>0</v>
      </c>
      <c r="QT24" s="1235">
        <f t="shared" si="122"/>
        <v>0</v>
      </c>
      <c r="QU24" s="766">
        <f>[1]Субсидия_факт!JF20</f>
        <v>0</v>
      </c>
      <c r="QV24" s="767">
        <f>[1]Субсидия_факт!JL20</f>
        <v>0</v>
      </c>
      <c r="QW24" s="783">
        <f t="shared" si="237"/>
        <v>0</v>
      </c>
      <c r="QX24" s="770"/>
      <c r="QY24" s="794"/>
      <c r="QZ24" s="801">
        <f t="shared" si="123"/>
        <v>0</v>
      </c>
      <c r="RA24" s="766">
        <f>[1]Субсидия_факт!CV20</f>
        <v>0</v>
      </c>
      <c r="RB24" s="767">
        <f>[1]Субсидия_факт!CX20</f>
        <v>0</v>
      </c>
      <c r="RC24" s="957">
        <f t="shared" si="124"/>
        <v>0</v>
      </c>
      <c r="RD24" s="766"/>
      <c r="RE24" s="767"/>
      <c r="RF24" s="801">
        <f t="shared" si="125"/>
        <v>0</v>
      </c>
      <c r="RG24" s="766">
        <f>[1]Субсидия_факт!CZ20</f>
        <v>0</v>
      </c>
      <c r="RH24" s="767">
        <f>[1]Субсидия_факт!DF20</f>
        <v>0</v>
      </c>
      <c r="RI24" s="957">
        <f t="shared" si="126"/>
        <v>0</v>
      </c>
      <c r="RJ24" s="766"/>
      <c r="RK24" s="767"/>
      <c r="RL24" s="801">
        <f t="shared" si="127"/>
        <v>0</v>
      </c>
      <c r="RM24" s="766">
        <f>[1]Субсидия_факт!DB20</f>
        <v>0</v>
      </c>
      <c r="RN24" s="767">
        <f>[1]Субсидия_факт!DH20</f>
        <v>0</v>
      </c>
      <c r="RO24" s="957">
        <f t="shared" si="128"/>
        <v>0</v>
      </c>
      <c r="RP24" s="766"/>
      <c r="RQ24" s="767"/>
      <c r="RR24" s="1235">
        <f t="shared" si="129"/>
        <v>0</v>
      </c>
      <c r="RS24" s="766">
        <f t="shared" si="130"/>
        <v>0</v>
      </c>
      <c r="RT24" s="767">
        <f t="shared" si="130"/>
        <v>0</v>
      </c>
      <c r="RU24" s="783">
        <f t="shared" si="131"/>
        <v>0</v>
      </c>
      <c r="RV24" s="766">
        <f t="shared" si="132"/>
        <v>0</v>
      </c>
      <c r="RW24" s="767">
        <f t="shared" si="132"/>
        <v>0</v>
      </c>
      <c r="RX24" s="801">
        <f t="shared" si="133"/>
        <v>0</v>
      </c>
      <c r="RY24" s="766">
        <f>[1]Субсидия_факт!DD20</f>
        <v>0</v>
      </c>
      <c r="RZ24" s="767">
        <f>[1]Субсидия_факт!DJ20</f>
        <v>0</v>
      </c>
      <c r="SA24" s="783">
        <f t="shared" si="134"/>
        <v>0</v>
      </c>
      <c r="SB24" s="766"/>
      <c r="SC24" s="767"/>
      <c r="SD24" s="801">
        <f t="shared" si="135"/>
        <v>0</v>
      </c>
      <c r="SE24" s="766">
        <f>[1]Субсидия_факт!DL20</f>
        <v>0</v>
      </c>
      <c r="SF24" s="767">
        <f>[1]Субсидия_факт!DN20</f>
        <v>0</v>
      </c>
      <c r="SG24" s="1253">
        <f t="shared" si="136"/>
        <v>0</v>
      </c>
      <c r="SH24" s="789"/>
      <c r="SI24" s="793"/>
      <c r="SJ24" s="957">
        <f t="shared" si="238"/>
        <v>0</v>
      </c>
      <c r="SK24" s="763">
        <f>[1]Субсидия_факт!BJ20</f>
        <v>0</v>
      </c>
      <c r="SL24" s="766">
        <f>[1]Субсидия_факт!BF20</f>
        <v>0</v>
      </c>
      <c r="SM24" s="793">
        <f>[1]Субсидия_факт!BH20</f>
        <v>0</v>
      </c>
      <c r="SN24" s="957">
        <f t="shared" si="137"/>
        <v>0</v>
      </c>
      <c r="SO24" s="795"/>
      <c r="SP24" s="789"/>
      <c r="SQ24" s="793"/>
      <c r="SR24" s="801">
        <f t="shared" si="138"/>
        <v>0</v>
      </c>
      <c r="SS24" s="766">
        <f>[1]Субсидия_факт!AD20</f>
        <v>0</v>
      </c>
      <c r="ST24" s="767">
        <f>[1]Субсидия_факт!AF20</f>
        <v>0</v>
      </c>
      <c r="SU24" s="957">
        <f t="shared" si="139"/>
        <v>0</v>
      </c>
      <c r="SV24" s="789"/>
      <c r="SW24" s="793"/>
      <c r="SX24" s="801">
        <f t="shared" si="239"/>
        <v>417191684.20999998</v>
      </c>
      <c r="SY24" s="766">
        <f>[1]Субсидия_факт!ID20</f>
        <v>0</v>
      </c>
      <c r="SZ24" s="767">
        <f>[1]Субсидия_факт!IJ20</f>
        <v>0</v>
      </c>
      <c r="TA24" s="789">
        <f>[1]Субсидия_факт!IP20</f>
        <v>0</v>
      </c>
      <c r="TB24" s="767">
        <f>[1]Субсидия_факт!IV20</f>
        <v>0</v>
      </c>
      <c r="TC24" s="1028">
        <f>[1]Субсидия_факт!JZ20</f>
        <v>20859584.209999979</v>
      </c>
      <c r="TD24" s="793">
        <f>[1]Субсидия_факт!KF20</f>
        <v>396332100</v>
      </c>
      <c r="TE24" s="957">
        <f t="shared" si="140"/>
        <v>284317341.83999997</v>
      </c>
      <c r="TF24" s="1162"/>
      <c r="TG24" s="794"/>
      <c r="TH24" s="1162"/>
      <c r="TI24" s="794"/>
      <c r="TJ24" s="1028">
        <v>14215867.09</v>
      </c>
      <c r="TK24" s="793">
        <v>270101474.75</v>
      </c>
      <c r="TL24" s="801">
        <f t="shared" si="141"/>
        <v>22628722.75</v>
      </c>
      <c r="TM24" s="766">
        <f>[1]Субсидия_факт!IF20</f>
        <v>1131436.1400000006</v>
      </c>
      <c r="TN24" s="767">
        <f>[1]Субсидия_факт!IL20</f>
        <v>21497286.609999999</v>
      </c>
      <c r="TO24" s="789">
        <f>[1]Субсидия_факт!IR20</f>
        <v>0</v>
      </c>
      <c r="TP24" s="767">
        <f>[1]Субсидия_факт!IX20</f>
        <v>0</v>
      </c>
      <c r="TQ24" s="789">
        <f>[1]Субсидия_факт!KB20</f>
        <v>0</v>
      </c>
      <c r="TR24" s="767">
        <f>[1]Субсидия_факт!KH20</f>
        <v>0</v>
      </c>
      <c r="TS24" s="957">
        <f t="shared" si="142"/>
        <v>6788616.8200000003</v>
      </c>
      <c r="TT24" s="1119">
        <v>339430.82999999996</v>
      </c>
      <c r="TU24" s="1120">
        <v>6449185.9900000002</v>
      </c>
      <c r="TV24" s="1028"/>
      <c r="TW24" s="794"/>
      <c r="TX24" s="770"/>
      <c r="TY24" s="794"/>
      <c r="TZ24" s="783">
        <f t="shared" si="143"/>
        <v>22628722.75</v>
      </c>
      <c r="UA24" s="766">
        <f t="shared" si="144"/>
        <v>1131436.1400000006</v>
      </c>
      <c r="UB24" s="767">
        <f t="shared" si="144"/>
        <v>21497286.609999999</v>
      </c>
      <c r="UC24" s="766">
        <f t="shared" si="144"/>
        <v>0</v>
      </c>
      <c r="UD24" s="767">
        <f t="shared" si="144"/>
        <v>0</v>
      </c>
      <c r="UE24" s="789">
        <f t="shared" si="144"/>
        <v>0</v>
      </c>
      <c r="UF24" s="767">
        <f t="shared" si="144"/>
        <v>0</v>
      </c>
      <c r="UG24" s="783">
        <f t="shared" si="145"/>
        <v>6788616.8200000003</v>
      </c>
      <c r="UH24" s="766">
        <f t="shared" si="146"/>
        <v>339430.82999999996</v>
      </c>
      <c r="UI24" s="767">
        <f t="shared" si="146"/>
        <v>6449185.9900000002</v>
      </c>
      <c r="UJ24" s="766">
        <f t="shared" si="146"/>
        <v>0</v>
      </c>
      <c r="UK24" s="767">
        <f t="shared" si="146"/>
        <v>0</v>
      </c>
      <c r="UL24" s="789">
        <f t="shared" si="146"/>
        <v>0</v>
      </c>
      <c r="UM24" s="767">
        <f t="shared" si="146"/>
        <v>0</v>
      </c>
      <c r="UN24" s="1235">
        <f t="shared" si="147"/>
        <v>0</v>
      </c>
      <c r="UO24" s="766">
        <f>[1]Субсидия_факт!IH20</f>
        <v>0</v>
      </c>
      <c r="UP24" s="767">
        <f>[1]Субсидия_факт!IN20</f>
        <v>0</v>
      </c>
      <c r="UQ24" s="789">
        <f>[1]Субсидия_факт!IT20</f>
        <v>0</v>
      </c>
      <c r="UR24" s="767">
        <f>[1]Субсидия_факт!IZ20</f>
        <v>0</v>
      </c>
      <c r="US24" s="789">
        <f>[1]Субсидия_факт!KD20</f>
        <v>0</v>
      </c>
      <c r="UT24" s="767">
        <f>[1]Субсидия_факт!KJ20</f>
        <v>0</v>
      </c>
      <c r="UU24" s="783">
        <f t="shared" si="148"/>
        <v>0</v>
      </c>
      <c r="UV24" s="1028"/>
      <c r="UW24" s="794"/>
      <c r="UX24" s="1028"/>
      <c r="UY24" s="794"/>
      <c r="UZ24" s="1028"/>
      <c r="VA24" s="794"/>
      <c r="VB24" s="957">
        <f>'Прочая  субсидия_МР  и  ГО'!B19</f>
        <v>215173325.59999999</v>
      </c>
      <c r="VC24" s="957">
        <f>'Прочая  субсидия_МР  и  ГО'!C19</f>
        <v>44080885.760000005</v>
      </c>
      <c r="VD24" s="1234">
        <f>'Прочая  субсидия_БП'!B19</f>
        <v>28643380.770000003</v>
      </c>
      <c r="VE24" s="801">
        <f>'Прочая  субсидия_БП'!C19</f>
        <v>9219418.7400000002</v>
      </c>
      <c r="VF24" s="1255">
        <f>'Прочая  субсидия_БП'!D19</f>
        <v>-181568.72999999992</v>
      </c>
      <c r="VG24" s="1248">
        <f>'Прочая  субсидия_БП'!E19</f>
        <v>114291.81000000001</v>
      </c>
      <c r="VH24" s="1249">
        <f>'Прочая  субсидия_БП'!F19</f>
        <v>28824949.5</v>
      </c>
      <c r="VI24" s="1255">
        <f>'Прочая  субсидия_БП'!G19</f>
        <v>9105126.9299999997</v>
      </c>
      <c r="VJ24" s="801">
        <f t="shared" si="149"/>
        <v>569848178.99000001</v>
      </c>
      <c r="VK24" s="770">
        <f>'Проверочная  таблица'!WM24+'Проверочная  таблица'!VP24+'Проверочная  таблица'!VR24+WG24</f>
        <v>552738883.98000002</v>
      </c>
      <c r="VL24" s="795">
        <f>'Проверочная  таблица'!WN24+'Проверочная  таблица'!VV24+'Проверочная  таблица'!WB24+'Проверочная  таблица'!VX24+'Проверочная  таблица'!VZ24+WD24+WH24+VT24</f>
        <v>17109295.009999998</v>
      </c>
      <c r="VM24" s="957">
        <f t="shared" si="150"/>
        <v>298065632.83999997</v>
      </c>
      <c r="VN24" s="770">
        <f>'Проверочная  таблица'!WP24+'Проверочная  таблица'!VQ24+'Проверочная  таблица'!VS24+WJ24</f>
        <v>289348013.38999999</v>
      </c>
      <c r="VO24" s="795">
        <f>'Проверочная  таблица'!WQ24+'Проверочная  таблица'!VW24+'Проверочная  таблица'!WC24+'Проверочная  таблица'!VY24+'Проверочная  таблица'!WA24+WE24+WK24+VU24</f>
        <v>8717619.4499999993</v>
      </c>
      <c r="VP24" s="1253">
        <f>'Субвенция  на  полномочия'!B19</f>
        <v>529395640.06</v>
      </c>
      <c r="VQ24" s="1234">
        <f>'Субвенция  на  полномочия'!C19</f>
        <v>276516990</v>
      </c>
      <c r="VR24" s="790">
        <f>[1]Субвенция_факт!M19*1000</f>
        <v>15632041</v>
      </c>
      <c r="VS24" s="796">
        <v>8702670</v>
      </c>
      <c r="VT24" s="790">
        <f>[1]Субвенция_факт!AE19*1000</f>
        <v>0</v>
      </c>
      <c r="VU24" s="796"/>
      <c r="VV24" s="790">
        <f>[1]Субвенция_факт!AF19*1000</f>
        <v>2813500</v>
      </c>
      <c r="VW24" s="796">
        <f>ВУС!E108</f>
        <v>885159.52999999991</v>
      </c>
      <c r="VX24" s="1256">
        <f>[1]Субвенция_факт!AG19*1000</f>
        <v>0</v>
      </c>
      <c r="VY24" s="797"/>
      <c r="VZ24" s="792">
        <f>[1]Субвенция_факт!E19*1000</f>
        <v>0</v>
      </c>
      <c r="WA24" s="797"/>
      <c r="WB24" s="792">
        <f>[1]Субвенция_факт!F19*1000</f>
        <v>0</v>
      </c>
      <c r="WC24" s="797"/>
      <c r="WD24" s="791">
        <f>[1]Субвенция_факт!G19*1000</f>
        <v>0</v>
      </c>
      <c r="WE24" s="796"/>
      <c r="WF24" s="801">
        <f t="shared" si="151"/>
        <v>18507831.09</v>
      </c>
      <c r="WG24" s="766">
        <f>[1]Субвенция_факт!P19*1000</f>
        <v>4812036.08</v>
      </c>
      <c r="WH24" s="767">
        <f>[1]Субвенция_факт!Q19*1000</f>
        <v>13695795.01</v>
      </c>
      <c r="WI24" s="957">
        <f t="shared" si="152"/>
        <v>10282128.4</v>
      </c>
      <c r="WJ24" s="770">
        <v>2673353.39</v>
      </c>
      <c r="WK24" s="798">
        <v>7608775.0099999998</v>
      </c>
      <c r="WL24" s="957">
        <f t="shared" si="153"/>
        <v>3499166.84</v>
      </c>
      <c r="WM24" s="799">
        <f>[1]Субвенция_факт!X19*1000</f>
        <v>2899166.84</v>
      </c>
      <c r="WN24" s="800">
        <f>[1]Субвенция_факт!W19*1000</f>
        <v>600000</v>
      </c>
      <c r="WO24" s="957">
        <f t="shared" si="154"/>
        <v>1678684.91</v>
      </c>
      <c r="WP24" s="770">
        <v>1455000</v>
      </c>
      <c r="WQ24" s="798">
        <v>223684.91</v>
      </c>
      <c r="WR24" s="957">
        <f t="shared" si="240"/>
        <v>125261353.55</v>
      </c>
      <c r="WS24" s="957">
        <f t="shared" si="241"/>
        <v>46175681.870000005</v>
      </c>
      <c r="WT24" s="1253">
        <f t="shared" si="155"/>
        <v>0</v>
      </c>
      <c r="WU24" s="799">
        <f>'[1]Иные межбюджетные трансферты'!AM20</f>
        <v>0</v>
      </c>
      <c r="WV24" s="800">
        <f>'[1]Иные межбюджетные трансферты'!AO20</f>
        <v>0</v>
      </c>
      <c r="WW24" s="1253">
        <f t="shared" si="156"/>
        <v>0</v>
      </c>
      <c r="WX24" s="799"/>
      <c r="WY24" s="800"/>
      <c r="WZ24" s="957">
        <f t="shared" si="157"/>
        <v>2696191.3899999997</v>
      </c>
      <c r="XA24" s="799">
        <f>'[1]Иные межбюджетные трансферты'!AI20</f>
        <v>134809.57</v>
      </c>
      <c r="XB24" s="800">
        <f>'[1]Иные межбюджетные трансферты'!AK20</f>
        <v>2561381.8199999998</v>
      </c>
      <c r="XC24" s="957">
        <f t="shared" si="158"/>
        <v>1348095.77</v>
      </c>
      <c r="XD24" s="799">
        <v>67404.800000000003</v>
      </c>
      <c r="XE24" s="800">
        <v>1280690.97</v>
      </c>
      <c r="XF24" s="957">
        <f t="shared" si="159"/>
        <v>18735508</v>
      </c>
      <c r="XG24" s="799">
        <f>'[1]Иные межбюджетные трансферты'!I20</f>
        <v>0</v>
      </c>
      <c r="XH24" s="800">
        <f>'[1]Иные межбюджетные трансферты'!K20</f>
        <v>18735508</v>
      </c>
      <c r="XI24" s="957">
        <f t="shared" si="242"/>
        <v>15383193</v>
      </c>
      <c r="XJ24" s="786"/>
      <c r="XK24" s="800">
        <v>15383193</v>
      </c>
      <c r="XL24" s="957">
        <f t="shared" si="161"/>
        <v>0</v>
      </c>
      <c r="XM24" s="789"/>
      <c r="XN24" s="957">
        <f t="shared" si="162"/>
        <v>0</v>
      </c>
      <c r="XO24" s="789"/>
      <c r="XP24" s="801">
        <f t="shared" si="163"/>
        <v>0</v>
      </c>
      <c r="XQ24" s="766">
        <f>'[1]Иные межбюджетные трансферты'!M20</f>
        <v>0</v>
      </c>
      <c r="XR24" s="957">
        <f t="shared" si="164"/>
        <v>0</v>
      </c>
      <c r="XS24" s="770"/>
      <c r="XT24" s="1252">
        <f t="shared" si="165"/>
        <v>0</v>
      </c>
      <c r="XU24" s="783">
        <f t="shared" si="166"/>
        <v>0</v>
      </c>
      <c r="XV24" s="1252">
        <f t="shared" si="167"/>
        <v>0</v>
      </c>
      <c r="XW24" s="783">
        <f t="shared" si="168"/>
        <v>0</v>
      </c>
      <c r="XX24" s="957">
        <f t="shared" si="243"/>
        <v>18258391.77</v>
      </c>
      <c r="XY24" s="787">
        <f>'[1]Иные межбюджетные трансферты'!E20</f>
        <v>0</v>
      </c>
      <c r="XZ24" s="799">
        <f>'[1]Иные межбюджетные трансферты'!G20</f>
        <v>0</v>
      </c>
      <c r="YA24" s="786">
        <f>'[1]Иные межбюджетные трансферты'!Q20</f>
        <v>0</v>
      </c>
      <c r="YB24" s="787">
        <f>'[1]Иные межбюджетные трансферты'!W20</f>
        <v>0</v>
      </c>
      <c r="YC24" s="786">
        <f>'[1]Иные межбюджетные трансферты'!Y20</f>
        <v>0</v>
      </c>
      <c r="YD24" s="1116">
        <f>'[1]Иные межбюджетные трансферты'!AE20</f>
        <v>14792742.51</v>
      </c>
      <c r="YE24" s="786">
        <f>'[1]Иные межбюджетные трансферты'!AQ20</f>
        <v>0</v>
      </c>
      <c r="YF24" s="766">
        <f>'[1]Иные межбюджетные трансферты'!AW20</f>
        <v>0</v>
      </c>
      <c r="YG24" s="786">
        <f>'[1]Иные межбюджетные трансферты'!AY20</f>
        <v>0</v>
      </c>
      <c r="YH24" s="1116">
        <f>'[1]Иные межбюджетные трансферты'!BA20</f>
        <v>3465649.2600000002</v>
      </c>
      <c r="YI24" s="957">
        <f t="shared" si="244"/>
        <v>1723893.1</v>
      </c>
      <c r="YJ24" s="786"/>
      <c r="YK24" s="786"/>
      <c r="YL24" s="755"/>
      <c r="YM24" s="786"/>
      <c r="YN24" s="751">
        <f t="shared" si="245"/>
        <v>0</v>
      </c>
      <c r="YO24" s="751"/>
      <c r="YP24" s="751"/>
      <c r="YQ24" s="751"/>
      <c r="YR24" s="751"/>
      <c r="YS24" s="751">
        <v>1723893.1</v>
      </c>
      <c r="YT24" s="957">
        <f t="shared" si="169"/>
        <v>85571262.390000001</v>
      </c>
      <c r="YU24" s="799">
        <f>'[1]Иные межбюджетные трансферты'!S20</f>
        <v>12661433</v>
      </c>
      <c r="YV24" s="786">
        <f>'[1]Иные межбюджетные трансферты'!AA20</f>
        <v>18919600</v>
      </c>
      <c r="YW24" s="1116">
        <f>'[1]Иные межбюджетные трансферты'!AG20</f>
        <v>43071365.040000007</v>
      </c>
      <c r="YX24" s="787">
        <f>'[1]Иные межбюджетные трансферты'!AS20</f>
        <v>6813576</v>
      </c>
      <c r="YY24" s="751">
        <f>'[1]Иные межбюджетные трансферты'!BC20</f>
        <v>4105288.3499999996</v>
      </c>
      <c r="YZ24" s="957">
        <f t="shared" si="170"/>
        <v>27720500</v>
      </c>
      <c r="ZA24" s="769">
        <v>8800900</v>
      </c>
      <c r="ZB24" s="769">
        <f t="shared" si="246"/>
        <v>18919600</v>
      </c>
      <c r="ZC24" s="769"/>
      <c r="ZD24" s="751"/>
      <c r="ZE24" s="751"/>
      <c r="ZF24" s="783">
        <f t="shared" si="171"/>
        <v>56501662.390000008</v>
      </c>
      <c r="ZG24" s="763">
        <f>'Проверочная  таблица'!YU24-ZS24</f>
        <v>2511433</v>
      </c>
      <c r="ZH24" s="763">
        <f>'Проверочная  таблица'!YV24-ZT24</f>
        <v>0</v>
      </c>
      <c r="ZI24" s="763">
        <f>'Проверочная  таблица'!YW24-ZU24</f>
        <v>43071365.040000007</v>
      </c>
      <c r="ZJ24" s="763">
        <f>'Проверочная  таблица'!YX24-ZV24</f>
        <v>6813576</v>
      </c>
      <c r="ZK24" s="763">
        <f>'Проверочная  таблица'!YY24-ZW24</f>
        <v>4105288.3499999996</v>
      </c>
      <c r="ZL24" s="783">
        <f t="shared" si="172"/>
        <v>0</v>
      </c>
      <c r="ZM24" s="763">
        <f>'Проверочная  таблица'!ZA24-ZY24</f>
        <v>0</v>
      </c>
      <c r="ZN24" s="763">
        <f>'Проверочная  таблица'!ZB24-ZZ24</f>
        <v>0</v>
      </c>
      <c r="ZO24" s="763">
        <f>'Проверочная  таблица'!ZC24-AAA24</f>
        <v>0</v>
      </c>
      <c r="ZP24" s="763">
        <f>'Проверочная  таблица'!ZD24-AAB24</f>
        <v>0</v>
      </c>
      <c r="ZQ24" s="763">
        <f>'Проверочная  таблица'!ZE24-AAC24</f>
        <v>0</v>
      </c>
      <c r="ZR24" s="783">
        <f t="shared" si="173"/>
        <v>29069600</v>
      </c>
      <c r="ZS24" s="799">
        <f>'[1]Иные межбюджетные трансферты'!U20</f>
        <v>10150000</v>
      </c>
      <c r="ZT24" s="786">
        <f>'[1]Иные межбюджетные трансферты'!AC20</f>
        <v>18919600</v>
      </c>
      <c r="ZU24" s="787"/>
      <c r="ZV24" s="799">
        <f>'[1]Иные межбюджетные трансферты'!AU20</f>
        <v>0</v>
      </c>
      <c r="ZW24" s="751">
        <f>'[1]Иные межбюджетные трансферты'!$BE$20</f>
        <v>0</v>
      </c>
      <c r="ZX24" s="783">
        <f t="shared" si="174"/>
        <v>27720500</v>
      </c>
      <c r="ZY24" s="769">
        <v>8800900</v>
      </c>
      <c r="ZZ24" s="769">
        <f t="shared" si="247"/>
        <v>18919600</v>
      </c>
      <c r="AAA24" s="769"/>
      <c r="AAB24" s="751"/>
      <c r="AAC24" s="751"/>
      <c r="AAD24" s="957">
        <f>AAF24+'Проверочная  таблица'!AAN24+AAJ24+'Проверочная  таблица'!AAR24+AAL24+'Проверочная  таблица'!AAT24</f>
        <v>-15000000</v>
      </c>
      <c r="AAE24" s="957">
        <f>AAG24+'Проверочная  таблица'!AAO24+AAK24+'Проверочная  таблица'!AAS24+AAM24+'Проверочная  таблица'!AAU24</f>
        <v>0</v>
      </c>
      <c r="AAF24" s="801"/>
      <c r="AAG24" s="801"/>
      <c r="AAH24" s="801"/>
      <c r="AAI24" s="801"/>
      <c r="AAJ24" s="1235">
        <f t="shared" si="175"/>
        <v>0</v>
      </c>
      <c r="AAK24" s="783">
        <f t="shared" si="175"/>
        <v>0</v>
      </c>
      <c r="AAL24" s="802"/>
      <c r="AAM24" s="783"/>
      <c r="AAN24" s="801">
        <v>-15000000</v>
      </c>
      <c r="AAO24" s="801"/>
      <c r="AAP24" s="801"/>
      <c r="AAQ24" s="801"/>
      <c r="AAR24" s="1235">
        <f t="shared" si="176"/>
        <v>0</v>
      </c>
      <c r="AAS24" s="783">
        <f t="shared" si="176"/>
        <v>0</v>
      </c>
      <c r="AAT24" s="783"/>
      <c r="AAU24" s="783"/>
      <c r="AAV24" s="1246">
        <f>'Проверочная  таблица'!AAN24+'Проверочная  таблица'!AAP24</f>
        <v>-15000000</v>
      </c>
      <c r="AAW24" s="1246">
        <f>'Проверочная  таблица'!AAO24+'Проверочная  таблица'!AAQ24</f>
        <v>0</v>
      </c>
    </row>
    <row r="25" spans="1:725" ht="24" customHeight="1" x14ac:dyDescent="0.25">
      <c r="A25" s="784" t="s">
        <v>1313</v>
      </c>
      <c r="B25" s="801">
        <f>D25+AN25+'Проверочная  таблица'!VJ25+'Проверочная  таблица'!WR25</f>
        <v>616573275.15999997</v>
      </c>
      <c r="C25" s="957">
        <f>E25+'Проверочная  таблица'!VM25+AO25+'Проверочная  таблица'!WS25</f>
        <v>270742172.23000002</v>
      </c>
      <c r="D25" s="1234">
        <f t="shared" si="0"/>
        <v>92267241.819999993</v>
      </c>
      <c r="E25" s="801">
        <f t="shared" si="1"/>
        <v>47117938</v>
      </c>
      <c r="F25" s="1238">
        <f>'[1]Дотация  из  ОБ_факт'!M19</f>
        <v>50105182</v>
      </c>
      <c r="G25" s="1247">
        <v>25052590</v>
      </c>
      <c r="H25" s="1238">
        <f>'[1]Дотация  из  ОБ_факт'!G19</f>
        <v>21237207.82</v>
      </c>
      <c r="I25" s="1247">
        <v>11118608</v>
      </c>
      <c r="J25" s="1248">
        <f t="shared" si="2"/>
        <v>21237207.82</v>
      </c>
      <c r="K25" s="1249">
        <f t="shared" si="2"/>
        <v>11118608</v>
      </c>
      <c r="L25" s="1248">
        <f>'[1]Дотация  из  ОБ_факт'!K19</f>
        <v>0</v>
      </c>
      <c r="M25" s="785"/>
      <c r="N25" s="1238">
        <f>'[1]Дотация  из  ОБ_факт'!Q19</f>
        <v>0</v>
      </c>
      <c r="O25" s="1247"/>
      <c r="P25" s="1238">
        <f>'[1]Дотация  из  ОБ_факт'!S19</f>
        <v>20493477</v>
      </c>
      <c r="Q25" s="1247">
        <v>10946740</v>
      </c>
      <c r="R25" s="1248">
        <f t="shared" si="3"/>
        <v>20493477</v>
      </c>
      <c r="S25" s="1249">
        <f t="shared" si="3"/>
        <v>10946740</v>
      </c>
      <c r="T25" s="1248">
        <f>'[1]Дотация  из  ОБ_факт'!W19</f>
        <v>0</v>
      </c>
      <c r="U25" s="785"/>
      <c r="V25" s="790">
        <f t="shared" si="4"/>
        <v>0</v>
      </c>
      <c r="W25" s="1250">
        <f>'[1]Дотация  из  ОБ_факт'!AA19</f>
        <v>0</v>
      </c>
      <c r="X25" s="1251">
        <f>'[1]Дотация  из  ОБ_факт'!AC19</f>
        <v>0</v>
      </c>
      <c r="Y25" s="1251">
        <f>'[1]Дотация  из  ОБ_факт'!AG19</f>
        <v>0</v>
      </c>
      <c r="Z25" s="791">
        <f t="shared" si="5"/>
        <v>0</v>
      </c>
      <c r="AA25" s="751">
        <f t="shared" si="180"/>
        <v>0</v>
      </c>
      <c r="AB25" s="751">
        <f t="shared" si="180"/>
        <v>0</v>
      </c>
      <c r="AC25" s="786"/>
      <c r="AD25" s="790">
        <f t="shared" si="6"/>
        <v>431375</v>
      </c>
      <c r="AE25" s="1250">
        <f>'[1]Дотация  из  ОБ_факт'!Y19</f>
        <v>431375</v>
      </c>
      <c r="AF25" s="1251">
        <f>'[1]Дотация  из  ОБ_факт'!AE19</f>
        <v>0</v>
      </c>
      <c r="AG25" s="790">
        <f t="shared" si="7"/>
        <v>0</v>
      </c>
      <c r="AH25" s="787"/>
      <c r="AI25" s="786"/>
      <c r="AJ25" s="1248">
        <f t="shared" si="8"/>
        <v>431375</v>
      </c>
      <c r="AK25" s="1249">
        <f t="shared" si="9"/>
        <v>0</v>
      </c>
      <c r="AL25" s="1248">
        <f>'[1]Дотация  из  ОБ_факт'!AE19</f>
        <v>0</v>
      </c>
      <c r="AM25" s="788"/>
      <c r="AN25" s="919">
        <f>'Проверочная  таблица'!VB25+'Проверочная  таблица'!VD25+BT25+BV25+CH25+CJ25+BH25+BL25+'Проверочная  таблица'!NB25+'Проверочная  таблица'!NR25+'Проверочная  таблица'!EB25+'Проверочная  таблица'!OJ25+DT25+'Проверочная  таблица'!JR25+'Проверочная  таблица'!JX25+'Проверочная  таблица'!OR25+'Проверочная  таблица'!OZ25+JL25+AP25+AV25+FB25+FH25+CV25+SX25+EH25+TL25+QH25+EN25+EV25+LV25+MD25+SR25+GV25+SD25+RF25+KP25+KZ25+RL25+SJ25+CP25+QZ25+HL25+GF25+HR25+HX25+FZ25+DJ25+PX25+CB25+IP25+JF25+HD25+GL25+IV25</f>
        <v>151941850.72999999</v>
      </c>
      <c r="AO25" s="920">
        <f>'Проверочная  таблица'!VC25+'Проверочная  таблица'!VE25+BU25+BW25+CI25+CK25+BJ25+BN25+'Проверочная  таблица'!NJ25+'Проверочная  таблица'!NU25+'Проверочная  таблица'!EE25+'Проверочная  таблица'!ON25+DX25+'Проверочная  таблица'!JU25+'Проверочная  таблица'!KA25+'Проверочная  таблица'!OV25+'Проверочная  таблица'!PD25+JO25+AS25+AX25+FE25+FK25+DC25+TE25+EK25+TS25+QK25+ER25+EY25+LZ25+MH25+SU25+GZ25+SG25+RI25+KU25+LE25+RO25+SN25+CS25+RC25+HO25+GI25+HU25+IA25+GC25+DM25+QC25+CE25+IS25+JI25+HF25+GO25+IY25</f>
        <v>25060102.799999997</v>
      </c>
      <c r="AP25" s="957">
        <f t="shared" si="10"/>
        <v>45645344.07</v>
      </c>
      <c r="AQ25" s="789">
        <f>[1]Субсидия_факт!HV21</f>
        <v>31015344.07</v>
      </c>
      <c r="AR25" s="770">
        <f>[1]Субсидия_факт!MR21</f>
        <v>14630000</v>
      </c>
      <c r="AS25" s="957">
        <f t="shared" si="11"/>
        <v>13106422</v>
      </c>
      <c r="AT25" s="770">
        <v>13106422</v>
      </c>
      <c r="AU25" s="789"/>
      <c r="AV25" s="910">
        <f t="shared" si="12"/>
        <v>0</v>
      </c>
      <c r="AW25" s="770">
        <f>[1]Субсидия_факт!MV21</f>
        <v>0</v>
      </c>
      <c r="AX25" s="1224">
        <f t="shared" si="13"/>
        <v>0</v>
      </c>
      <c r="AY25" s="770"/>
      <c r="AZ25" s="1225">
        <f t="shared" si="14"/>
        <v>0</v>
      </c>
      <c r="BA25" s="770">
        <f t="shared" si="15"/>
        <v>0</v>
      </c>
      <c r="BB25" s="783">
        <f t="shared" si="16"/>
        <v>0</v>
      </c>
      <c r="BC25" s="789">
        <f t="shared" si="17"/>
        <v>0</v>
      </c>
      <c r="BD25" s="782">
        <f t="shared" si="18"/>
        <v>0</v>
      </c>
      <c r="BE25" s="770">
        <f>[1]Субсидия_факт!MX21</f>
        <v>0</v>
      </c>
      <c r="BF25" s="802">
        <f t="shared" si="19"/>
        <v>0</v>
      </c>
      <c r="BG25" s="770"/>
      <c r="BH25" s="801">
        <f t="shared" si="20"/>
        <v>0</v>
      </c>
      <c r="BI25" s="770">
        <f>[1]Субсидия_факт!KZ21</f>
        <v>0</v>
      </c>
      <c r="BJ25" s="957">
        <f t="shared" si="21"/>
        <v>0</v>
      </c>
      <c r="BK25" s="770"/>
      <c r="BL25" s="801">
        <f t="shared" si="22"/>
        <v>0</v>
      </c>
      <c r="BM25" s="770">
        <f>[1]Субсидия_факт!LB21</f>
        <v>0</v>
      </c>
      <c r="BN25" s="957">
        <f t="shared" si="23"/>
        <v>0</v>
      </c>
      <c r="BO25" s="770"/>
      <c r="BP25" s="936">
        <f t="shared" si="24"/>
        <v>0</v>
      </c>
      <c r="BQ25" s="923">
        <f t="shared" si="25"/>
        <v>0</v>
      </c>
      <c r="BR25" s="934">
        <f t="shared" si="26"/>
        <v>0</v>
      </c>
      <c r="BS25" s="936">
        <f t="shared" si="27"/>
        <v>0</v>
      </c>
      <c r="BT25" s="801">
        <f>[1]Субсидия_факт!GV21</f>
        <v>0</v>
      </c>
      <c r="BU25" s="790"/>
      <c r="BV25" s="1253">
        <f>[1]Субсидия_факт!GX21</f>
        <v>0</v>
      </c>
      <c r="BW25" s="791"/>
      <c r="BX25" s="1252">
        <f t="shared" si="28"/>
        <v>0</v>
      </c>
      <c r="BY25" s="1235">
        <f t="shared" si="28"/>
        <v>0</v>
      </c>
      <c r="BZ25" s="783">
        <f>[1]Субсидия_факт!GZ21</f>
        <v>0</v>
      </c>
      <c r="CA25" s="785"/>
      <c r="CB25" s="801">
        <f t="shared" si="29"/>
        <v>31469344.07</v>
      </c>
      <c r="CC25" s="766">
        <f>[1]Субсидия_факт!HL21</f>
        <v>31015344.07</v>
      </c>
      <c r="CD25" s="770">
        <f>[1]Субсидия_факт!HN21</f>
        <v>454000</v>
      </c>
      <c r="CE25" s="957">
        <f t="shared" si="30"/>
        <v>454000</v>
      </c>
      <c r="CF25" s="770"/>
      <c r="CG25" s="770">
        <v>454000</v>
      </c>
      <c r="CH25" s="957">
        <f>[1]Субсидия_факт!HB21</f>
        <v>0</v>
      </c>
      <c r="CI25" s="792"/>
      <c r="CJ25" s="957">
        <f>[1]Субсидия_факт!HD21</f>
        <v>0</v>
      </c>
      <c r="CK25" s="805"/>
      <c r="CL25" s="1226">
        <f t="shared" si="31"/>
        <v>0</v>
      </c>
      <c r="CM25" s="782">
        <f t="shared" si="31"/>
        <v>0</v>
      </c>
      <c r="CN25" s="1225">
        <f>[1]Субсидия_факт!HF21</f>
        <v>0</v>
      </c>
      <c r="CO25" s="753"/>
      <c r="CP25" s="801">
        <f t="shared" si="32"/>
        <v>247660.65</v>
      </c>
      <c r="CQ25" s="766">
        <f>[1]Субсидия_факт!HP21</f>
        <v>0</v>
      </c>
      <c r="CR25" s="770">
        <f>[1]Субсидия_факт!HR21</f>
        <v>247660.65</v>
      </c>
      <c r="CS25" s="957">
        <f t="shared" si="33"/>
        <v>247660.65</v>
      </c>
      <c r="CT25" s="770"/>
      <c r="CU25" s="770">
        <v>247660.65</v>
      </c>
      <c r="CV25" s="910">
        <f t="shared" si="34"/>
        <v>0</v>
      </c>
      <c r="CW25" s="763">
        <f>[1]Субсидия_факт!LR21</f>
        <v>0</v>
      </c>
      <c r="CX25" s="762">
        <f>[1]Субсидия_факт!LT21</f>
        <v>0</v>
      </c>
      <c r="CY25" s="754">
        <f>[1]Субсидия_факт!LV21</f>
        <v>0</v>
      </c>
      <c r="CZ25" s="762">
        <f>[1]Субсидия_факт!MB21</f>
        <v>0</v>
      </c>
      <c r="DA25" s="754">
        <f>[1]Субсидия_факт!MH21</f>
        <v>0</v>
      </c>
      <c r="DB25" s="762">
        <f>[1]Субсидия_факт!MJ21</f>
        <v>0</v>
      </c>
      <c r="DC25" s="910">
        <f t="shared" si="35"/>
        <v>0</v>
      </c>
      <c r="DD25" s="755"/>
      <c r="DE25" s="762"/>
      <c r="DF25" s="754"/>
      <c r="DG25" s="762"/>
      <c r="DH25" s="754"/>
      <c r="DI25" s="762"/>
      <c r="DJ25" s="920">
        <f t="shared" si="205"/>
        <v>0</v>
      </c>
      <c r="DK25" s="763">
        <f>[1]Субсидия_факт!LX21</f>
        <v>0</v>
      </c>
      <c r="DL25" s="762">
        <f>[1]Субсидия_факт!MD21</f>
        <v>0</v>
      </c>
      <c r="DM25" s="910">
        <f t="shared" si="37"/>
        <v>0</v>
      </c>
      <c r="DN25" s="763"/>
      <c r="DO25" s="764"/>
      <c r="DP25" s="1226">
        <f t="shared" si="206"/>
        <v>0</v>
      </c>
      <c r="DQ25" s="782">
        <f t="shared" si="207"/>
        <v>0</v>
      </c>
      <c r="DR25" s="1225">
        <f t="shared" si="208"/>
        <v>0</v>
      </c>
      <c r="DS25" s="753">
        <f t="shared" si="209"/>
        <v>0</v>
      </c>
      <c r="DT25" s="957">
        <f t="shared" si="210"/>
        <v>0</v>
      </c>
      <c r="DU25" s="789">
        <f>[1]Субсидия_факт!R21</f>
        <v>0</v>
      </c>
      <c r="DV25" s="766">
        <f>[1]Субсидия_факт!T21</f>
        <v>0</v>
      </c>
      <c r="DW25" s="770">
        <f>[1]Субсидия_факт!V21</f>
        <v>0</v>
      </c>
      <c r="DX25" s="957">
        <f t="shared" si="211"/>
        <v>0</v>
      </c>
      <c r="DY25" s="770"/>
      <c r="DZ25" s="770"/>
      <c r="EA25" s="770"/>
      <c r="EB25" s="801">
        <f t="shared" si="38"/>
        <v>0</v>
      </c>
      <c r="EC25" s="766">
        <f>[1]Субсидия_факт!AX21</f>
        <v>0</v>
      </c>
      <c r="ED25" s="767">
        <f>[1]Субсидия_факт!AZ21</f>
        <v>0</v>
      </c>
      <c r="EE25" s="957">
        <f t="shared" si="39"/>
        <v>0</v>
      </c>
      <c r="EF25" s="789"/>
      <c r="EG25" s="793"/>
      <c r="EH25" s="801">
        <f t="shared" si="40"/>
        <v>0</v>
      </c>
      <c r="EI25" s="766">
        <f>[1]Субсидия_факт!X21</f>
        <v>0</v>
      </c>
      <c r="EJ25" s="767">
        <f>[1]Субсидия_факт!Z21</f>
        <v>0</v>
      </c>
      <c r="EK25" s="957">
        <f t="shared" si="41"/>
        <v>0</v>
      </c>
      <c r="EL25" s="766"/>
      <c r="EM25" s="767"/>
      <c r="EN25" s="920">
        <f t="shared" si="212"/>
        <v>0</v>
      </c>
      <c r="EO25" s="763">
        <f>[1]Субсидия_факт!AP21</f>
        <v>0</v>
      </c>
      <c r="EP25" s="763">
        <f>[1]Субсидия_факт!AL21</f>
        <v>0</v>
      </c>
      <c r="EQ25" s="764">
        <f>[1]Субсидия_факт!AN21</f>
        <v>0</v>
      </c>
      <c r="ER25" s="920">
        <f t="shared" si="42"/>
        <v>0</v>
      </c>
      <c r="ES25" s="763"/>
      <c r="ET25" s="763"/>
      <c r="EU25" s="764"/>
      <c r="EV25" s="920">
        <f t="shared" si="43"/>
        <v>0</v>
      </c>
      <c r="EW25" s="763">
        <f>[1]Субсидия_факт!HH21</f>
        <v>0</v>
      </c>
      <c r="EX25" s="762">
        <f>[1]Субсидия_факт!HJ21</f>
        <v>0</v>
      </c>
      <c r="EY25" s="910">
        <f t="shared" si="44"/>
        <v>0</v>
      </c>
      <c r="EZ25" s="763"/>
      <c r="FA25" s="762"/>
      <c r="FB25" s="920">
        <f t="shared" si="45"/>
        <v>0</v>
      </c>
      <c r="FC25" s="766">
        <f>[1]Субсидия_факт!PK21</f>
        <v>0</v>
      </c>
      <c r="FD25" s="767">
        <f>[1]Субсидия_факт!PQ21</f>
        <v>0</v>
      </c>
      <c r="FE25" s="910">
        <f t="shared" si="46"/>
        <v>0</v>
      </c>
      <c r="FF25" s="763"/>
      <c r="FG25" s="764"/>
      <c r="FH25" s="920">
        <f t="shared" si="47"/>
        <v>0</v>
      </c>
      <c r="FI25" s="763">
        <f>[1]Субсидия_факт!PM21</f>
        <v>0</v>
      </c>
      <c r="FJ25" s="762">
        <f>[1]Субсидия_факт!PS21</f>
        <v>0</v>
      </c>
      <c r="FK25" s="910">
        <f t="shared" si="48"/>
        <v>0</v>
      </c>
      <c r="FL25" s="763"/>
      <c r="FM25" s="764"/>
      <c r="FN25" s="1233">
        <f t="shared" si="49"/>
        <v>0</v>
      </c>
      <c r="FO25" s="763">
        <f t="shared" si="50"/>
        <v>0</v>
      </c>
      <c r="FP25" s="762">
        <f t="shared" si="50"/>
        <v>0</v>
      </c>
      <c r="FQ25" s="782">
        <f t="shared" si="51"/>
        <v>0</v>
      </c>
      <c r="FR25" s="763">
        <f t="shared" si="52"/>
        <v>0</v>
      </c>
      <c r="FS25" s="762">
        <f t="shared" si="52"/>
        <v>0</v>
      </c>
      <c r="FT25" s="1233">
        <f t="shared" si="53"/>
        <v>0</v>
      </c>
      <c r="FU25" s="763">
        <f>[1]Субсидия_факт!PO21</f>
        <v>0</v>
      </c>
      <c r="FV25" s="762">
        <f>[1]Субсидия_факт!PU21</f>
        <v>0</v>
      </c>
      <c r="FW25" s="782">
        <f t="shared" si="54"/>
        <v>0</v>
      </c>
      <c r="FX25" s="763"/>
      <c r="FY25" s="764"/>
      <c r="FZ25" s="920">
        <f t="shared" si="55"/>
        <v>0</v>
      </c>
      <c r="GA25" s="766">
        <f>[1]Субсидия_факт!EP21</f>
        <v>0</v>
      </c>
      <c r="GB25" s="767">
        <f>[1]Субсидия_факт!ER21</f>
        <v>0</v>
      </c>
      <c r="GC25" s="1234">
        <f t="shared" si="56"/>
        <v>0</v>
      </c>
      <c r="GD25" s="766"/>
      <c r="GE25" s="767"/>
      <c r="GF25" s="846">
        <f t="shared" si="57"/>
        <v>0</v>
      </c>
      <c r="GG25" s="766">
        <f>[1]Субсидия_факт!JN21</f>
        <v>0</v>
      </c>
      <c r="GH25" s="767">
        <f>[1]Субсидия_факт!JP21</f>
        <v>0</v>
      </c>
      <c r="GI25" s="801">
        <f t="shared" si="58"/>
        <v>0</v>
      </c>
      <c r="GJ25" s="766"/>
      <c r="GK25" s="767"/>
      <c r="GL25" s="936">
        <f t="shared" si="59"/>
        <v>0</v>
      </c>
      <c r="GM25" s="763">
        <f>[1]Субсидия_факт!JR21</f>
        <v>0</v>
      </c>
      <c r="GN25" s="764">
        <f>[1]Субсидия_факт!JV21</f>
        <v>0</v>
      </c>
      <c r="GO25" s="1235">
        <f t="shared" si="60"/>
        <v>0</v>
      </c>
      <c r="GP25" s="766"/>
      <c r="GQ25" s="793"/>
      <c r="GR25" s="1235">
        <f t="shared" si="213"/>
        <v>0</v>
      </c>
      <c r="GS25" s="783">
        <f t="shared" si="214"/>
        <v>0</v>
      </c>
      <c r="GT25" s="1252">
        <f t="shared" si="215"/>
        <v>0</v>
      </c>
      <c r="GU25" s="783">
        <f t="shared" si="216"/>
        <v>0</v>
      </c>
      <c r="GV25" s="1234">
        <f t="shared" si="61"/>
        <v>0</v>
      </c>
      <c r="GW25" s="766">
        <f>[1]Субсидия_факт!KL21</f>
        <v>0</v>
      </c>
      <c r="GX25" s="767">
        <f>[1]Субсидия_факт!KN21</f>
        <v>0</v>
      </c>
      <c r="GY25" s="766">
        <f>[1]Субсидия_факт!KP21</f>
        <v>0</v>
      </c>
      <c r="GZ25" s="801">
        <f t="shared" si="62"/>
        <v>0</v>
      </c>
      <c r="HA25" s="766"/>
      <c r="HB25" s="767"/>
      <c r="HC25" s="770"/>
      <c r="HD25" s="1235">
        <f t="shared" si="217"/>
        <v>0</v>
      </c>
      <c r="HE25" s="766">
        <f>[1]Субсидия_факт!KR21</f>
        <v>0</v>
      </c>
      <c r="HF25" s="1235">
        <f t="shared" si="217"/>
        <v>0</v>
      </c>
      <c r="HG25" s="770"/>
      <c r="HH25" s="1235">
        <f t="shared" si="218"/>
        <v>0</v>
      </c>
      <c r="HI25" s="1235">
        <f t="shared" si="219"/>
        <v>0</v>
      </c>
      <c r="HJ25" s="1235">
        <f t="shared" si="220"/>
        <v>0</v>
      </c>
      <c r="HK25" s="1235">
        <f t="shared" si="221"/>
        <v>0</v>
      </c>
      <c r="HL25" s="846">
        <f t="shared" si="63"/>
        <v>0</v>
      </c>
      <c r="HM25" s="766">
        <f>[1]Субсидия_факт!KV21</f>
        <v>0</v>
      </c>
      <c r="HN25" s="767">
        <f>[1]Субсидия_факт!KX21</f>
        <v>0</v>
      </c>
      <c r="HO25" s="957">
        <f t="shared" si="64"/>
        <v>0</v>
      </c>
      <c r="HP25" s="766"/>
      <c r="HQ25" s="767"/>
      <c r="HR25" s="846">
        <f t="shared" si="65"/>
        <v>0</v>
      </c>
      <c r="HS25" s="766"/>
      <c r="HT25" s="767"/>
      <c r="HU25" s="957">
        <f t="shared" si="66"/>
        <v>0</v>
      </c>
      <c r="HV25" s="766"/>
      <c r="HW25" s="767"/>
      <c r="HX25" s="846">
        <f t="shared" si="67"/>
        <v>0</v>
      </c>
      <c r="HY25" s="766">
        <f>[1]Субсидия_факт!FV21</f>
        <v>0</v>
      </c>
      <c r="HZ25" s="767">
        <f>[1]Субсидия_факт!FZ21</f>
        <v>0</v>
      </c>
      <c r="IA25" s="957">
        <f t="shared" si="68"/>
        <v>0</v>
      </c>
      <c r="IB25" s="766"/>
      <c r="IC25" s="767"/>
      <c r="ID25" s="1233">
        <f t="shared" si="69"/>
        <v>0</v>
      </c>
      <c r="IE25" s="763">
        <f t="shared" si="70"/>
        <v>0</v>
      </c>
      <c r="IF25" s="762">
        <f t="shared" si="70"/>
        <v>0</v>
      </c>
      <c r="IG25" s="782">
        <f t="shared" si="71"/>
        <v>0</v>
      </c>
      <c r="IH25" s="763">
        <f t="shared" si="72"/>
        <v>0</v>
      </c>
      <c r="II25" s="762">
        <f t="shared" si="72"/>
        <v>0</v>
      </c>
      <c r="IJ25" s="1233">
        <f t="shared" si="73"/>
        <v>0</v>
      </c>
      <c r="IK25" s="763">
        <f>[1]Субсидия_факт!FX21</f>
        <v>0</v>
      </c>
      <c r="IL25" s="762">
        <f>[1]Субсидия_факт!GB21</f>
        <v>0</v>
      </c>
      <c r="IM25" s="782">
        <f t="shared" si="74"/>
        <v>0</v>
      </c>
      <c r="IN25" s="763">
        <f t="shared" si="188"/>
        <v>0</v>
      </c>
      <c r="IO25" s="764">
        <f t="shared" si="189"/>
        <v>0</v>
      </c>
      <c r="IP25" s="846">
        <f t="shared" si="75"/>
        <v>0</v>
      </c>
      <c r="IQ25" s="763">
        <f>[1]Субсидия_факт!ED21</f>
        <v>0</v>
      </c>
      <c r="IR25" s="764">
        <f>[1]Субсидия_факт!EF21</f>
        <v>0</v>
      </c>
      <c r="IS25" s="957">
        <f t="shared" si="76"/>
        <v>0</v>
      </c>
      <c r="IT25" s="766"/>
      <c r="IU25" s="767"/>
      <c r="IV25" s="1146">
        <f t="shared" si="77"/>
        <v>0</v>
      </c>
      <c r="IW25" s="763">
        <f>[1]Субсидия_факт!EH21</f>
        <v>0</v>
      </c>
      <c r="IX25" s="764">
        <f>[1]Субсидия_факт!EL21</f>
        <v>0</v>
      </c>
      <c r="IY25" s="1254">
        <f t="shared" si="78"/>
        <v>0</v>
      </c>
      <c r="IZ25" s="766"/>
      <c r="JA25" s="793"/>
      <c r="JB25" s="1235">
        <f t="shared" si="222"/>
        <v>0</v>
      </c>
      <c r="JC25" s="1235">
        <f t="shared" si="223"/>
        <v>0</v>
      </c>
      <c r="JD25" s="1235">
        <f t="shared" si="224"/>
        <v>0</v>
      </c>
      <c r="JE25" s="783">
        <f t="shared" si="225"/>
        <v>0</v>
      </c>
      <c r="JF25" s="1258">
        <f t="shared" si="79"/>
        <v>0</v>
      </c>
      <c r="JG25" s="763">
        <f>[1]Субсидия_факт!BX21</f>
        <v>0</v>
      </c>
      <c r="JH25" s="764">
        <f>[1]Субсидия_факт!BZ21</f>
        <v>0</v>
      </c>
      <c r="JI25" s="957">
        <f t="shared" si="80"/>
        <v>0</v>
      </c>
      <c r="JJ25" s="766"/>
      <c r="JK25" s="767"/>
      <c r="JL25" s="846">
        <f t="shared" si="81"/>
        <v>0</v>
      </c>
      <c r="JM25" s="766">
        <f>[1]Субсидия_факт!ET21</f>
        <v>0</v>
      </c>
      <c r="JN25" s="767">
        <f>[1]Субсидия_факт!EV21</f>
        <v>0</v>
      </c>
      <c r="JO25" s="957">
        <f t="shared" si="82"/>
        <v>0</v>
      </c>
      <c r="JP25" s="766"/>
      <c r="JQ25" s="767"/>
      <c r="JR25" s="910">
        <f t="shared" si="83"/>
        <v>0</v>
      </c>
      <c r="JS25" s="763">
        <f>[1]Субсидия_факт!EX21</f>
        <v>0</v>
      </c>
      <c r="JT25" s="762">
        <f>[1]Субсидия_факт!FD21</f>
        <v>0</v>
      </c>
      <c r="JU25" s="910">
        <f t="shared" si="84"/>
        <v>0</v>
      </c>
      <c r="JV25" s="763"/>
      <c r="JW25" s="764"/>
      <c r="JX25" s="910">
        <f t="shared" si="85"/>
        <v>0</v>
      </c>
      <c r="JY25" s="763">
        <f>[1]Субсидия_факт!EZ21</f>
        <v>0</v>
      </c>
      <c r="JZ25" s="764">
        <f>[1]Субсидия_факт!FF21</f>
        <v>0</v>
      </c>
      <c r="KA25" s="910">
        <f t="shared" si="86"/>
        <v>0</v>
      </c>
      <c r="KB25" s="754"/>
      <c r="KC25" s="768"/>
      <c r="KD25" s="910">
        <f t="shared" si="87"/>
        <v>-143326.96</v>
      </c>
      <c r="KE25" s="755">
        <f>'Проверочная  таблица'!JY25-'Проверочная  таблица'!KK25</f>
        <v>-37265.009999999995</v>
      </c>
      <c r="KF25" s="764">
        <f>'Проверочная  таблица'!JZ25-'Проверочная  таблица'!KL25</f>
        <v>-106061.95</v>
      </c>
      <c r="KG25" s="1225">
        <f t="shared" si="88"/>
        <v>0</v>
      </c>
      <c r="KH25" s="754">
        <f>'Проверочная  таблица'!KB25-'Проверочная  таблица'!KN25</f>
        <v>0</v>
      </c>
      <c r="KI25" s="771">
        <f>'Проверочная  таблица'!KC25-'Проверочная  таблица'!KO25</f>
        <v>0</v>
      </c>
      <c r="KJ25" s="910">
        <f t="shared" si="89"/>
        <v>143326.96</v>
      </c>
      <c r="KK25" s="763">
        <f>[1]Субсидия_факт!FB21</f>
        <v>37265.009999999995</v>
      </c>
      <c r="KL25" s="762">
        <f>[1]Субсидия_факт!FH21</f>
        <v>106061.95</v>
      </c>
      <c r="KM25" s="782">
        <f t="shared" si="90"/>
        <v>0</v>
      </c>
      <c r="KN25" s="763"/>
      <c r="KO25" s="764"/>
      <c r="KP25" s="1217">
        <f t="shared" si="226"/>
        <v>683089.63</v>
      </c>
      <c r="KQ25" s="754">
        <f>[1]Субсидия_факт!OD21</f>
        <v>207070</v>
      </c>
      <c r="KR25" s="764">
        <f>[1]Субсидия_факт!OJ21</f>
        <v>354339.63</v>
      </c>
      <c r="KS25" s="754">
        <f>[1]Субсидия_факт!OR21</f>
        <v>44236.480000000003</v>
      </c>
      <c r="KT25" s="764">
        <f>[1]Субсидия_факт!OT21</f>
        <v>77443.520000000004</v>
      </c>
      <c r="KU25" s="1217">
        <f t="shared" si="91"/>
        <v>0</v>
      </c>
      <c r="KV25" s="754"/>
      <c r="KW25" s="764"/>
      <c r="KX25" s="754"/>
      <c r="KY25" s="764"/>
      <c r="KZ25" s="1217">
        <f t="shared" si="227"/>
        <v>44630</v>
      </c>
      <c r="LA25" s="789">
        <f>[1]Субсидия_факт!OF21</f>
        <v>44630</v>
      </c>
      <c r="LB25" s="767">
        <f>[1]Субсидия_факт!OL21</f>
        <v>0</v>
      </c>
      <c r="LC25" s="789"/>
      <c r="LD25" s="767"/>
      <c r="LE25" s="1217">
        <f t="shared" si="92"/>
        <v>0</v>
      </c>
      <c r="LF25" s="754"/>
      <c r="LG25" s="764"/>
      <c r="LH25" s="754"/>
      <c r="LI25" s="764"/>
      <c r="LJ25" s="1219">
        <f t="shared" si="93"/>
        <v>-32420</v>
      </c>
      <c r="LK25" s="789">
        <f t="shared" si="94"/>
        <v>-32420</v>
      </c>
      <c r="LL25" s="767">
        <f t="shared" si="94"/>
        <v>0</v>
      </c>
      <c r="LM25" s="1219">
        <f t="shared" si="95"/>
        <v>0</v>
      </c>
      <c r="LN25" s="789">
        <f t="shared" si="96"/>
        <v>0</v>
      </c>
      <c r="LO25" s="767">
        <f t="shared" si="96"/>
        <v>0</v>
      </c>
      <c r="LP25" s="1219">
        <f t="shared" si="97"/>
        <v>77050</v>
      </c>
      <c r="LQ25" s="763">
        <f>[1]Субсидия_факт!OH21</f>
        <v>77050</v>
      </c>
      <c r="LR25" s="762">
        <f>[1]Субсидия_факт!ON21</f>
        <v>0</v>
      </c>
      <c r="LS25" s="1219">
        <f t="shared" si="98"/>
        <v>0</v>
      </c>
      <c r="LT25" s="755"/>
      <c r="LU25" s="764"/>
      <c r="LV25" s="957">
        <f t="shared" si="228"/>
        <v>0</v>
      </c>
      <c r="LW25" s="769">
        <f>[1]Субсидия_факт!DP21</f>
        <v>0</v>
      </c>
      <c r="LX25" s="754">
        <f>[1]Субсидия_факт!CB21</f>
        <v>0</v>
      </c>
      <c r="LY25" s="764">
        <f>[1]Субсидия_факт!CH21</f>
        <v>0</v>
      </c>
      <c r="LZ25" s="957">
        <f t="shared" si="99"/>
        <v>0</v>
      </c>
      <c r="MA25" s="769"/>
      <c r="MB25" s="754"/>
      <c r="MC25" s="764"/>
      <c r="MD25" s="957">
        <f t="shared" si="229"/>
        <v>0</v>
      </c>
      <c r="ME25" s="769">
        <f>[1]Субсидия_факт!DR21</f>
        <v>0</v>
      </c>
      <c r="MF25" s="754">
        <f>[1]Субсидия_факт!CD21</f>
        <v>0</v>
      </c>
      <c r="MG25" s="764">
        <f>[1]Субсидия_факт!CJ21</f>
        <v>0</v>
      </c>
      <c r="MH25" s="957">
        <f t="shared" si="100"/>
        <v>0</v>
      </c>
      <c r="MI25" s="769"/>
      <c r="MJ25" s="754"/>
      <c r="MK25" s="762"/>
      <c r="ML25" s="783">
        <f t="shared" si="101"/>
        <v>0</v>
      </c>
      <c r="MM25" s="766">
        <f>'Проверочная  таблица'!ME25-MU25</f>
        <v>0</v>
      </c>
      <c r="MN25" s="766">
        <f>'Проверочная  таблица'!MF25-MV25</f>
        <v>0</v>
      </c>
      <c r="MO25" s="767">
        <f>'Проверочная  таблица'!MG25-MW25</f>
        <v>0</v>
      </c>
      <c r="MP25" s="783">
        <f t="shared" si="102"/>
        <v>0</v>
      </c>
      <c r="MQ25" s="766">
        <f>'Проверочная  таблица'!MI25-MY25</f>
        <v>0</v>
      </c>
      <c r="MR25" s="766">
        <f>'Проверочная  таблица'!MJ25-MZ25</f>
        <v>0</v>
      </c>
      <c r="MS25" s="767">
        <f>'Проверочная  таблица'!MK25-NA25</f>
        <v>0</v>
      </c>
      <c r="MT25" s="783">
        <f t="shared" si="103"/>
        <v>0</v>
      </c>
      <c r="MU25" s="754">
        <f>[1]Субсидия_факт!DT21</f>
        <v>0</v>
      </c>
      <c r="MV25" s="754">
        <f>[1]Субсидия_факт!CF21</f>
        <v>0</v>
      </c>
      <c r="MW25" s="764">
        <f>[1]Субсидия_факт!CL21</f>
        <v>0</v>
      </c>
      <c r="MX25" s="783">
        <f t="shared" si="104"/>
        <v>0</v>
      </c>
      <c r="MY25" s="754"/>
      <c r="MZ25" s="754"/>
      <c r="NA25" s="764"/>
      <c r="NB25" s="1224">
        <f t="shared" si="230"/>
        <v>143326.96</v>
      </c>
      <c r="NC25" s="754">
        <f>[1]Субсидия_факт!CN21</f>
        <v>0</v>
      </c>
      <c r="ND25" s="762">
        <f>[1]Субсидия_факт!CP21</f>
        <v>0</v>
      </c>
      <c r="NE25" s="766">
        <f>[1]Субсидия_факт!CR21</f>
        <v>0</v>
      </c>
      <c r="NF25" s="767">
        <f>[1]Субсидия_факт!CT21</f>
        <v>0</v>
      </c>
      <c r="NG25" s="755">
        <f>[1]Субсидия_факт!DV21</f>
        <v>0</v>
      </c>
      <c r="NH25" s="763">
        <f>[1]Субсидия_факт!FJ21</f>
        <v>37265.009999999995</v>
      </c>
      <c r="NI25" s="762">
        <f>[1]Субсидия_факт!FP21</f>
        <v>106061.95</v>
      </c>
      <c r="NJ25" s="910">
        <f t="shared" si="105"/>
        <v>143326.96</v>
      </c>
      <c r="NK25" s="754"/>
      <c r="NL25" s="764"/>
      <c r="NM25" s="770"/>
      <c r="NN25" s="794"/>
      <c r="NO25" s="754"/>
      <c r="NP25" s="754">
        <f t="shared" si="248"/>
        <v>37265.009999999995</v>
      </c>
      <c r="NQ25" s="764">
        <f t="shared" si="248"/>
        <v>106061.95</v>
      </c>
      <c r="NR25" s="910">
        <f t="shared" si="231"/>
        <v>0</v>
      </c>
      <c r="NS25" s="763">
        <f>[1]Субсидия_факт!FL21</f>
        <v>0</v>
      </c>
      <c r="NT25" s="762">
        <f>[1]Субсидия_факт!FR21</f>
        <v>0</v>
      </c>
      <c r="NU25" s="910">
        <f t="shared" si="106"/>
        <v>0</v>
      </c>
      <c r="NV25" s="755"/>
      <c r="NW25" s="764"/>
      <c r="NX25" s="782">
        <f t="shared" si="107"/>
        <v>0</v>
      </c>
      <c r="NY25" s="763">
        <f>'Проверочная  таблица'!NS25-OE25</f>
        <v>0</v>
      </c>
      <c r="NZ25" s="764">
        <f>'Проверочная  таблица'!NT25-OF25</f>
        <v>0</v>
      </c>
      <c r="OA25" s="782">
        <f t="shared" si="108"/>
        <v>0</v>
      </c>
      <c r="OB25" s="754">
        <f>'Проверочная  таблица'!NV25-OH25</f>
        <v>0</v>
      </c>
      <c r="OC25" s="771">
        <f>'Проверочная  таблица'!NW25-OI25</f>
        <v>0</v>
      </c>
      <c r="OD25" s="782">
        <f t="shared" si="232"/>
        <v>0</v>
      </c>
      <c r="OE25" s="763">
        <f>[1]Субсидия_факт!FN21</f>
        <v>0</v>
      </c>
      <c r="OF25" s="762">
        <f>[1]Субсидия_факт!FT21</f>
        <v>0</v>
      </c>
      <c r="OG25" s="782">
        <f t="shared" si="109"/>
        <v>0</v>
      </c>
      <c r="OH25" s="754"/>
      <c r="OI25" s="764"/>
      <c r="OJ25" s="919">
        <f t="shared" si="233"/>
        <v>0</v>
      </c>
      <c r="OK25" s="763">
        <f>[1]Субсидия_факт!AR21</f>
        <v>0</v>
      </c>
      <c r="OL25" s="762">
        <f>[1]Субсидия_факт!AT21</f>
        <v>0</v>
      </c>
      <c r="OM25" s="763">
        <f>[1]Субсидия_факт!AV21</f>
        <v>0</v>
      </c>
      <c r="ON25" s="957">
        <f t="shared" si="110"/>
        <v>0</v>
      </c>
      <c r="OO25" s="770"/>
      <c r="OP25" s="767"/>
      <c r="OQ25" s="770"/>
      <c r="OR25" s="1238">
        <f t="shared" si="111"/>
        <v>9785831.3900000006</v>
      </c>
      <c r="OS25" s="763">
        <f>[1]Субсидия_факт!GD21</f>
        <v>0</v>
      </c>
      <c r="OT25" s="762">
        <f>[1]Субсидия_факт!GJ21</f>
        <v>9785831.3900000006</v>
      </c>
      <c r="OU25" s="770">
        <f>[1]Субсидия_факт!GP21</f>
        <v>0</v>
      </c>
      <c r="OV25" s="1238">
        <f t="shared" si="112"/>
        <v>0</v>
      </c>
      <c r="OW25" s="755"/>
      <c r="OX25" s="764"/>
      <c r="OY25" s="754"/>
      <c r="OZ25" s="1217">
        <f t="shared" si="234"/>
        <v>9785831.3900000006</v>
      </c>
      <c r="PA25" s="763">
        <f>[1]Субсидия_факт!GF21</f>
        <v>0</v>
      </c>
      <c r="PB25" s="762">
        <f>[1]Субсидия_факт!GL21</f>
        <v>0</v>
      </c>
      <c r="PC25" s="754">
        <f>[1]Субсидия_факт!GR21</f>
        <v>9785831.3900000006</v>
      </c>
      <c r="PD25" s="1217">
        <f t="shared" si="113"/>
        <v>2945636.8</v>
      </c>
      <c r="PE25" s="754"/>
      <c r="PF25" s="771"/>
      <c r="PG25" s="754">
        <v>2945636.8</v>
      </c>
      <c r="PH25" s="1219">
        <f t="shared" si="114"/>
        <v>9785831.3900000006</v>
      </c>
      <c r="PI25" s="789">
        <f>'Проверочная  таблица'!PA25-PQ25</f>
        <v>0</v>
      </c>
      <c r="PJ25" s="767">
        <f>'Проверочная  таблица'!PB25-PR25</f>
        <v>0</v>
      </c>
      <c r="PK25" s="770">
        <f>'Проверочная  таблица'!PC25-PS25</f>
        <v>9785831.3900000006</v>
      </c>
      <c r="PL25" s="1219">
        <f t="shared" si="235"/>
        <v>2945636.8</v>
      </c>
      <c r="PM25" s="755">
        <f>'Проверочная  таблица'!PE25-PU25</f>
        <v>0</v>
      </c>
      <c r="PN25" s="764">
        <f>'Проверочная  таблица'!PF25-PV25</f>
        <v>0</v>
      </c>
      <c r="PO25" s="754">
        <f>'Проверочная  таблица'!PG25-PW25</f>
        <v>2945636.8</v>
      </c>
      <c r="PP25" s="1219">
        <f t="shared" si="115"/>
        <v>0</v>
      </c>
      <c r="PQ25" s="763">
        <f>[1]Субсидия_факт!GH21</f>
        <v>0</v>
      </c>
      <c r="PR25" s="762">
        <f>[1]Субсидия_факт!GN21</f>
        <v>0</v>
      </c>
      <c r="PS25" s="763">
        <f>[1]Субсидия_факт!GT21</f>
        <v>0</v>
      </c>
      <c r="PT25" s="1219">
        <f t="shared" si="116"/>
        <v>0</v>
      </c>
      <c r="PU25" s="755">
        <f t="shared" si="193"/>
        <v>0</v>
      </c>
      <c r="PV25" s="764">
        <f t="shared" si="194"/>
        <v>0</v>
      </c>
      <c r="PW25" s="763"/>
      <c r="PX25" s="910">
        <f t="shared" si="195"/>
        <v>0</v>
      </c>
      <c r="PY25" s="766">
        <f>[1]Субсидия_факт!JB21</f>
        <v>0</v>
      </c>
      <c r="PZ25" s="767">
        <f>[1]Субсидия_факт!JH21</f>
        <v>0</v>
      </c>
      <c r="QA25" s="766"/>
      <c r="QB25" s="767"/>
      <c r="QC25" s="910">
        <f t="shared" si="196"/>
        <v>0</v>
      </c>
      <c r="QD25" s="770"/>
      <c r="QE25" s="794"/>
      <c r="QF25" s="770"/>
      <c r="QG25" s="794"/>
      <c r="QH25" s="957">
        <f t="shared" si="117"/>
        <v>0</v>
      </c>
      <c r="QI25" s="766">
        <f>[1]Субсидия_факт!JD21</f>
        <v>0</v>
      </c>
      <c r="QJ25" s="767">
        <f>[1]Субсидия_факт!JJ21</f>
        <v>0</v>
      </c>
      <c r="QK25" s="1253">
        <f t="shared" si="118"/>
        <v>0</v>
      </c>
      <c r="QL25" s="770"/>
      <c r="QM25" s="794"/>
      <c r="QN25" s="783">
        <f t="shared" si="236"/>
        <v>0</v>
      </c>
      <c r="QO25" s="770">
        <f t="shared" si="119"/>
        <v>0</v>
      </c>
      <c r="QP25" s="767">
        <f t="shared" si="119"/>
        <v>0</v>
      </c>
      <c r="QQ25" s="1235">
        <f t="shared" si="120"/>
        <v>0</v>
      </c>
      <c r="QR25" s="766">
        <f t="shared" si="121"/>
        <v>0</v>
      </c>
      <c r="QS25" s="767">
        <f t="shared" si="121"/>
        <v>0</v>
      </c>
      <c r="QT25" s="1235">
        <f t="shared" si="122"/>
        <v>0</v>
      </c>
      <c r="QU25" s="766">
        <f>[1]Субсидия_факт!JF21</f>
        <v>0</v>
      </c>
      <c r="QV25" s="767">
        <f>[1]Субсидия_факт!JL21</f>
        <v>0</v>
      </c>
      <c r="QW25" s="923">
        <f t="shared" si="237"/>
        <v>0</v>
      </c>
      <c r="QX25" s="770"/>
      <c r="QY25" s="794"/>
      <c r="QZ25" s="846">
        <f t="shared" si="123"/>
        <v>0</v>
      </c>
      <c r="RA25" s="766">
        <f>[1]Субсидия_факт!CV21</f>
        <v>0</v>
      </c>
      <c r="RB25" s="767">
        <f>[1]Субсидия_факт!CX21</f>
        <v>0</v>
      </c>
      <c r="RC25" s="957">
        <f t="shared" si="124"/>
        <v>0</v>
      </c>
      <c r="RD25" s="766"/>
      <c r="RE25" s="767"/>
      <c r="RF25" s="801">
        <f t="shared" si="125"/>
        <v>0</v>
      </c>
      <c r="RG25" s="766">
        <f>[1]Субсидия_факт!CZ21</f>
        <v>0</v>
      </c>
      <c r="RH25" s="767">
        <f>[1]Субсидия_факт!DF21</f>
        <v>0</v>
      </c>
      <c r="RI25" s="957">
        <f t="shared" si="126"/>
        <v>0</v>
      </c>
      <c r="RJ25" s="766"/>
      <c r="RK25" s="767"/>
      <c r="RL25" s="846">
        <f t="shared" si="127"/>
        <v>0</v>
      </c>
      <c r="RM25" s="766">
        <f>[1]Субсидия_факт!DB21</f>
        <v>0</v>
      </c>
      <c r="RN25" s="767">
        <f>[1]Субсидия_факт!DH21</f>
        <v>0</v>
      </c>
      <c r="RO25" s="957">
        <f t="shared" si="128"/>
        <v>0</v>
      </c>
      <c r="RP25" s="766"/>
      <c r="RQ25" s="767"/>
      <c r="RR25" s="1235">
        <f t="shared" si="129"/>
        <v>0</v>
      </c>
      <c r="RS25" s="766">
        <f t="shared" si="130"/>
        <v>0</v>
      </c>
      <c r="RT25" s="767">
        <f t="shared" si="130"/>
        <v>0</v>
      </c>
      <c r="RU25" s="783">
        <f t="shared" si="131"/>
        <v>0</v>
      </c>
      <c r="RV25" s="766">
        <f t="shared" si="132"/>
        <v>0</v>
      </c>
      <c r="RW25" s="767">
        <f t="shared" si="132"/>
        <v>0</v>
      </c>
      <c r="RX25" s="846">
        <f t="shared" si="133"/>
        <v>0</v>
      </c>
      <c r="RY25" s="766">
        <f>[1]Субсидия_факт!DD21</f>
        <v>0</v>
      </c>
      <c r="RZ25" s="767">
        <f>[1]Субсидия_факт!DJ21</f>
        <v>0</v>
      </c>
      <c r="SA25" s="783">
        <f t="shared" si="134"/>
        <v>0</v>
      </c>
      <c r="SB25" s="766"/>
      <c r="SC25" s="767"/>
      <c r="SD25" s="801">
        <f t="shared" si="135"/>
        <v>0</v>
      </c>
      <c r="SE25" s="766">
        <f>[1]Субсидия_факт!DL21</f>
        <v>0</v>
      </c>
      <c r="SF25" s="767">
        <f>[1]Субсидия_факт!DN21</f>
        <v>0</v>
      </c>
      <c r="SG25" s="1253">
        <f t="shared" si="136"/>
        <v>0</v>
      </c>
      <c r="SH25" s="789"/>
      <c r="SI25" s="793"/>
      <c r="SJ25" s="957">
        <f t="shared" si="238"/>
        <v>0</v>
      </c>
      <c r="SK25" s="763">
        <f>[1]Субсидия_факт!BJ21</f>
        <v>0</v>
      </c>
      <c r="SL25" s="766">
        <f>[1]Субсидия_факт!BF21</f>
        <v>0</v>
      </c>
      <c r="SM25" s="793">
        <f>[1]Субсидия_факт!BH21</f>
        <v>0</v>
      </c>
      <c r="SN25" s="957">
        <f t="shared" si="137"/>
        <v>0</v>
      </c>
      <c r="SO25" s="795"/>
      <c r="SP25" s="789"/>
      <c r="SQ25" s="793"/>
      <c r="SR25" s="801">
        <f t="shared" si="138"/>
        <v>0</v>
      </c>
      <c r="SS25" s="766">
        <f>[1]Субсидия_факт!AD21</f>
        <v>0</v>
      </c>
      <c r="ST25" s="767">
        <f>[1]Субсидия_факт!AF21</f>
        <v>0</v>
      </c>
      <c r="SU25" s="957">
        <f t="shared" si="139"/>
        <v>0</v>
      </c>
      <c r="SV25" s="789"/>
      <c r="SW25" s="793"/>
      <c r="SX25" s="801">
        <f t="shared" si="239"/>
        <v>0</v>
      </c>
      <c r="SY25" s="766">
        <f>[1]Субсидия_факт!ID21</f>
        <v>0</v>
      </c>
      <c r="SZ25" s="767">
        <f>[1]Субсидия_факт!IJ21</f>
        <v>0</v>
      </c>
      <c r="TA25" s="789">
        <f>[1]Субсидия_факт!IP21</f>
        <v>0</v>
      </c>
      <c r="TB25" s="767">
        <f>[1]Субсидия_факт!IV21</f>
        <v>0</v>
      </c>
      <c r="TC25" s="1028">
        <f>[1]Субсидия_факт!JZ21</f>
        <v>0</v>
      </c>
      <c r="TD25" s="793">
        <f>[1]Субсидия_факт!KF21</f>
        <v>0</v>
      </c>
      <c r="TE25" s="957">
        <f t="shared" si="140"/>
        <v>0</v>
      </c>
      <c r="TF25" s="1162"/>
      <c r="TG25" s="794"/>
      <c r="TH25" s="1162"/>
      <c r="TI25" s="794"/>
      <c r="TJ25" s="1028"/>
      <c r="TK25" s="793"/>
      <c r="TL25" s="846">
        <f t="shared" si="141"/>
        <v>0</v>
      </c>
      <c r="TM25" s="766">
        <f>[1]Субсидия_факт!IF21</f>
        <v>0</v>
      </c>
      <c r="TN25" s="767">
        <f>[1]Субсидия_факт!IL21</f>
        <v>0</v>
      </c>
      <c r="TO25" s="789">
        <f>[1]Субсидия_факт!IR21</f>
        <v>0</v>
      </c>
      <c r="TP25" s="767">
        <f>[1]Субсидия_факт!IX21</f>
        <v>0</v>
      </c>
      <c r="TQ25" s="789">
        <f>[1]Субсидия_факт!KB21</f>
        <v>0</v>
      </c>
      <c r="TR25" s="767">
        <f>[1]Субсидия_факт!KH21</f>
        <v>0</v>
      </c>
      <c r="TS25" s="957">
        <f t="shared" si="142"/>
        <v>0</v>
      </c>
      <c r="TT25" s="770"/>
      <c r="TU25" s="794"/>
      <c r="TV25" s="1028"/>
      <c r="TW25" s="794"/>
      <c r="TX25" s="770"/>
      <c r="TY25" s="794"/>
      <c r="TZ25" s="923">
        <f t="shared" si="143"/>
        <v>0</v>
      </c>
      <c r="UA25" s="766">
        <f t="shared" si="144"/>
        <v>0</v>
      </c>
      <c r="UB25" s="767">
        <f t="shared" si="144"/>
        <v>0</v>
      </c>
      <c r="UC25" s="766">
        <f t="shared" si="144"/>
        <v>0</v>
      </c>
      <c r="UD25" s="767">
        <f t="shared" si="144"/>
        <v>0</v>
      </c>
      <c r="UE25" s="789">
        <f t="shared" si="144"/>
        <v>0</v>
      </c>
      <c r="UF25" s="767">
        <f t="shared" si="144"/>
        <v>0</v>
      </c>
      <c r="UG25" s="783">
        <f t="shared" si="145"/>
        <v>0</v>
      </c>
      <c r="UH25" s="766">
        <f t="shared" si="146"/>
        <v>0</v>
      </c>
      <c r="UI25" s="767">
        <f t="shared" si="146"/>
        <v>0</v>
      </c>
      <c r="UJ25" s="766">
        <f t="shared" si="146"/>
        <v>0</v>
      </c>
      <c r="UK25" s="767">
        <f t="shared" si="146"/>
        <v>0</v>
      </c>
      <c r="UL25" s="789">
        <f t="shared" si="146"/>
        <v>0</v>
      </c>
      <c r="UM25" s="767">
        <f t="shared" si="146"/>
        <v>0</v>
      </c>
      <c r="UN25" s="936">
        <f t="shared" si="147"/>
        <v>0</v>
      </c>
      <c r="UO25" s="766">
        <f>[1]Субсидия_факт!IH21</f>
        <v>0</v>
      </c>
      <c r="UP25" s="767">
        <f>[1]Субсидия_факт!IN21</f>
        <v>0</v>
      </c>
      <c r="UQ25" s="789">
        <f>[1]Субсидия_факт!IT21</f>
        <v>0</v>
      </c>
      <c r="UR25" s="767">
        <f>[1]Субсидия_факт!IZ21</f>
        <v>0</v>
      </c>
      <c r="US25" s="789">
        <f>[1]Субсидия_факт!KD21</f>
        <v>0</v>
      </c>
      <c r="UT25" s="767">
        <f>[1]Субсидия_факт!KJ21</f>
        <v>0</v>
      </c>
      <c r="UU25" s="783">
        <f t="shared" si="148"/>
        <v>0</v>
      </c>
      <c r="UV25" s="1028"/>
      <c r="UW25" s="794"/>
      <c r="UX25" s="1028"/>
      <c r="UY25" s="794"/>
      <c r="UZ25" s="1028"/>
      <c r="VA25" s="794"/>
      <c r="VB25" s="957">
        <f>'Прочая  субсидия_МР  и  ГО'!B20</f>
        <v>53264864.959999993</v>
      </c>
      <c r="VC25" s="957">
        <f>'Прочая  субсидия_МР  и  ГО'!C20</f>
        <v>7890835.3499999996</v>
      </c>
      <c r="VD25" s="1234">
        <f>'Прочая  субсидия_БП'!B20</f>
        <v>871927.6100000001</v>
      </c>
      <c r="VE25" s="801">
        <f>'Прочая  субсидия_БП'!C20</f>
        <v>272221.04000000004</v>
      </c>
      <c r="VF25" s="1255">
        <f>'Прочая  субсидия_БП'!D20</f>
        <v>511199.70000000013</v>
      </c>
      <c r="VG25" s="1248">
        <f>'Прочая  субсидия_БП'!E20</f>
        <v>272221.04000000004</v>
      </c>
      <c r="VH25" s="1249">
        <f>'Прочая  субсидия_БП'!F20</f>
        <v>360727.91</v>
      </c>
      <c r="VI25" s="1255">
        <f>'Прочая  субсидия_БП'!G20</f>
        <v>0</v>
      </c>
      <c r="VJ25" s="801">
        <f t="shared" si="149"/>
        <v>330822181.08999997</v>
      </c>
      <c r="VK25" s="770">
        <f>'Проверочная  таблица'!WM25+'Проверочная  таблица'!VP25+'Проверочная  таблица'!VR25+WG25</f>
        <v>323628554.13</v>
      </c>
      <c r="VL25" s="795">
        <f>'Проверочная  таблица'!WN25+'Проверочная  таблица'!VV25+'Проверочная  таблица'!WB25+'Проверочная  таблица'!VX25+'Проверочная  таблица'!VZ25+WD25+WH25+VT25</f>
        <v>7193626.96</v>
      </c>
      <c r="VM25" s="957">
        <f t="shared" si="150"/>
        <v>182673816.15000001</v>
      </c>
      <c r="VN25" s="770">
        <f>'Проверочная  таблица'!WP25+'Проверочная  таблица'!VQ25+'Проверочная  таблица'!VS25+WJ25</f>
        <v>179078754.43000001</v>
      </c>
      <c r="VO25" s="795">
        <f>'Проверочная  таблица'!WQ25+'Проверочная  таблица'!VW25+'Проверочная  таблица'!WC25+'Проверочная  таблица'!VY25+'Проверочная  таблица'!WA25+WE25+WK25+VU25</f>
        <v>3595061.72</v>
      </c>
      <c r="VP25" s="1253">
        <f>'Субвенция  на  полномочия'!B20</f>
        <v>309902809.49000001</v>
      </c>
      <c r="VQ25" s="1234">
        <f>'Субвенция  на  полномочия'!C20</f>
        <v>172817764</v>
      </c>
      <c r="VR25" s="790">
        <f>[1]Субвенция_факт!M20*1000</f>
        <v>10473680</v>
      </c>
      <c r="VS25" s="796">
        <v>4600000</v>
      </c>
      <c r="VT25" s="790">
        <f>[1]Субвенция_факт!AE20*1000</f>
        <v>0</v>
      </c>
      <c r="VU25" s="796"/>
      <c r="VV25" s="790">
        <f>[1]Субвенция_факт!AF20*1000</f>
        <v>1594500</v>
      </c>
      <c r="VW25" s="796">
        <f>ВУС!E123</f>
        <v>604108.85</v>
      </c>
      <c r="VX25" s="1256">
        <f>[1]Субвенция_факт!AG20*1000</f>
        <v>0</v>
      </c>
      <c r="VY25" s="797"/>
      <c r="VZ25" s="792">
        <f>[1]Субвенция_факт!E20*1000</f>
        <v>0</v>
      </c>
      <c r="WA25" s="797"/>
      <c r="WB25" s="792">
        <f>[1]Субвенция_факт!F20*1000</f>
        <v>0</v>
      </c>
      <c r="WC25" s="797"/>
      <c r="WD25" s="791">
        <f>[1]Субвенция_факт!G20*1000</f>
        <v>0</v>
      </c>
      <c r="WE25" s="796"/>
      <c r="WF25" s="801">
        <f t="shared" si="151"/>
        <v>6512333.7300000004</v>
      </c>
      <c r="WG25" s="766">
        <f>[1]Субвенция_факт!P20*1000</f>
        <v>1693206.7700000005</v>
      </c>
      <c r="WH25" s="767">
        <f>[1]Субвенция_факт!Q20*1000</f>
        <v>4819126.96</v>
      </c>
      <c r="WI25" s="957">
        <f t="shared" si="152"/>
        <v>3480732.4200000004</v>
      </c>
      <c r="WJ25" s="770">
        <v>904990.43</v>
      </c>
      <c r="WK25" s="798">
        <v>2575741.9900000002</v>
      </c>
      <c r="WL25" s="957">
        <f t="shared" si="153"/>
        <v>2338857.87</v>
      </c>
      <c r="WM25" s="799">
        <f>[1]Субвенция_факт!X20*1000</f>
        <v>1558857.87</v>
      </c>
      <c r="WN25" s="800">
        <f>[1]Субвенция_факт!W20*1000</f>
        <v>780000</v>
      </c>
      <c r="WO25" s="957">
        <f t="shared" si="154"/>
        <v>1171210.8799999999</v>
      </c>
      <c r="WP25" s="770">
        <v>756000</v>
      </c>
      <c r="WQ25" s="798">
        <v>415210.88</v>
      </c>
      <c r="WR25" s="957">
        <f t="shared" si="240"/>
        <v>41542001.519999996</v>
      </c>
      <c r="WS25" s="957">
        <f t="shared" si="241"/>
        <v>15890315.280000001</v>
      </c>
      <c r="WT25" s="1253">
        <f t="shared" si="155"/>
        <v>0</v>
      </c>
      <c r="WU25" s="799">
        <f>'[1]Иные межбюджетные трансферты'!AM21</f>
        <v>0</v>
      </c>
      <c r="WV25" s="800">
        <f>'[1]Иные межбюджетные трансферты'!AO21</f>
        <v>0</v>
      </c>
      <c r="WW25" s="1253">
        <f t="shared" si="156"/>
        <v>0</v>
      </c>
      <c r="WX25" s="799"/>
      <c r="WY25" s="800"/>
      <c r="WZ25" s="957">
        <f t="shared" si="157"/>
        <v>1348095.69</v>
      </c>
      <c r="XA25" s="799">
        <f>'[1]Иные межбюджетные трансферты'!AI21</f>
        <v>67404.78</v>
      </c>
      <c r="XB25" s="800">
        <f>'[1]Иные межбюджетные трансферты'!AK21</f>
        <v>1280690.9099999999</v>
      </c>
      <c r="XC25" s="957">
        <f t="shared" si="158"/>
        <v>786389.15999999992</v>
      </c>
      <c r="XD25" s="799">
        <v>39319.47</v>
      </c>
      <c r="XE25" s="800">
        <v>747069.69</v>
      </c>
      <c r="XF25" s="957">
        <f t="shared" si="159"/>
        <v>10685094</v>
      </c>
      <c r="XG25" s="799">
        <f>'[1]Иные межбюджетные трансферты'!I21</f>
        <v>0</v>
      </c>
      <c r="XH25" s="800">
        <f>'[1]Иные межбюджетные трансферты'!K21</f>
        <v>10685094</v>
      </c>
      <c r="XI25" s="957">
        <f t="shared" si="242"/>
        <v>8007300</v>
      </c>
      <c r="XJ25" s="786"/>
      <c r="XK25" s="800">
        <v>8007300</v>
      </c>
      <c r="XL25" s="957">
        <f t="shared" si="161"/>
        <v>0</v>
      </c>
      <c r="XM25" s="789"/>
      <c r="XN25" s="957">
        <f t="shared" si="162"/>
        <v>0</v>
      </c>
      <c r="XO25" s="789"/>
      <c r="XP25" s="801">
        <f t="shared" si="163"/>
        <v>0</v>
      </c>
      <c r="XQ25" s="766">
        <f>'[1]Иные межбюджетные трансферты'!M21</f>
        <v>0</v>
      </c>
      <c r="XR25" s="957">
        <f t="shared" si="164"/>
        <v>0</v>
      </c>
      <c r="XS25" s="770"/>
      <c r="XT25" s="1252">
        <f t="shared" si="165"/>
        <v>0</v>
      </c>
      <c r="XU25" s="783">
        <f t="shared" si="166"/>
        <v>0</v>
      </c>
      <c r="XV25" s="1252">
        <f t="shared" si="167"/>
        <v>0</v>
      </c>
      <c r="XW25" s="783">
        <f t="shared" si="168"/>
        <v>0</v>
      </c>
      <c r="XX25" s="957">
        <f t="shared" si="243"/>
        <v>23822135.460000001</v>
      </c>
      <c r="XY25" s="787">
        <f>'[1]Иные межбюджетные трансферты'!E21</f>
        <v>0</v>
      </c>
      <c r="XZ25" s="799">
        <f>'[1]Иные межбюджетные трансферты'!G21</f>
        <v>11051802</v>
      </c>
      <c r="YA25" s="786">
        <f>'[1]Иные межбюджетные трансферты'!Q21</f>
        <v>0</v>
      </c>
      <c r="YB25" s="787">
        <f>'[1]Иные межбюджетные трансферты'!W21</f>
        <v>0</v>
      </c>
      <c r="YC25" s="786">
        <f>'[1]Иные межбюджетные трансферты'!Y21</f>
        <v>6136480</v>
      </c>
      <c r="YD25" s="1116">
        <f>'[1]Иные межбюджетные трансферты'!AE21</f>
        <v>4498644</v>
      </c>
      <c r="YE25" s="786">
        <f>'[1]Иные межбюджетные трансферты'!AQ21</f>
        <v>0</v>
      </c>
      <c r="YF25" s="766">
        <f>'[1]Иные межбюджетные трансферты'!AW21</f>
        <v>0</v>
      </c>
      <c r="YG25" s="786">
        <f>'[1]Иные межбюджетные трансферты'!AY21</f>
        <v>0</v>
      </c>
      <c r="YH25" s="1116">
        <f>'[1]Иные межбюджетные трансферты'!BA21</f>
        <v>2135209.46</v>
      </c>
      <c r="YI25" s="957">
        <f t="shared" si="244"/>
        <v>7096626.1200000001</v>
      </c>
      <c r="YJ25" s="786"/>
      <c r="YK25" s="786"/>
      <c r="YL25" s="755"/>
      <c r="YM25" s="786"/>
      <c r="YN25" s="751">
        <f t="shared" si="245"/>
        <v>6136480</v>
      </c>
      <c r="YO25" s="751"/>
      <c r="YP25" s="751"/>
      <c r="YQ25" s="751"/>
      <c r="YR25" s="751"/>
      <c r="YS25" s="751">
        <v>960146.12</v>
      </c>
      <c r="YT25" s="957">
        <f t="shared" si="169"/>
        <v>5686676.3700000001</v>
      </c>
      <c r="YU25" s="799">
        <f>'[1]Иные межбюджетные трансферты'!S21</f>
        <v>1212926</v>
      </c>
      <c r="YV25" s="786">
        <f>'[1]Иные межбюджетные трансферты'!AA21</f>
        <v>0</v>
      </c>
      <c r="YW25" s="1116">
        <f>'[1]Иные межбюджетные трансферты'!AG21</f>
        <v>0</v>
      </c>
      <c r="YX25" s="787">
        <f>'[1]Иные межбюджетные трансферты'!AS21</f>
        <v>1700000</v>
      </c>
      <c r="YY25" s="751">
        <f>'[1]Иные межбюджетные трансферты'!BC21</f>
        <v>2773750.37</v>
      </c>
      <c r="YZ25" s="957">
        <f t="shared" si="170"/>
        <v>0</v>
      </c>
      <c r="ZA25" s="769"/>
      <c r="ZB25" s="769">
        <f t="shared" si="246"/>
        <v>0</v>
      </c>
      <c r="ZC25" s="769"/>
      <c r="ZD25" s="751"/>
      <c r="ZE25" s="751"/>
      <c r="ZF25" s="783">
        <f t="shared" si="171"/>
        <v>5686676.3700000001</v>
      </c>
      <c r="ZG25" s="763">
        <f>'Проверочная  таблица'!YU25-ZS25</f>
        <v>1212926</v>
      </c>
      <c r="ZH25" s="763">
        <f>'Проверочная  таблица'!YV25-ZT25</f>
        <v>0</v>
      </c>
      <c r="ZI25" s="763">
        <f>'Проверочная  таблица'!YW25-ZU25</f>
        <v>0</v>
      </c>
      <c r="ZJ25" s="763">
        <f>'Проверочная  таблица'!YX25-ZV25</f>
        <v>1700000</v>
      </c>
      <c r="ZK25" s="763">
        <f>'Проверочная  таблица'!YY25-ZW25</f>
        <v>2773750.37</v>
      </c>
      <c r="ZL25" s="783">
        <f t="shared" si="172"/>
        <v>0</v>
      </c>
      <c r="ZM25" s="763">
        <f>'Проверочная  таблица'!ZA25-ZY25</f>
        <v>0</v>
      </c>
      <c r="ZN25" s="763">
        <f>'Проверочная  таблица'!ZB25-ZZ25</f>
        <v>0</v>
      </c>
      <c r="ZO25" s="763">
        <f>'Проверочная  таблица'!ZC25-AAA25</f>
        <v>0</v>
      </c>
      <c r="ZP25" s="763">
        <f>'Проверочная  таблица'!ZD25-AAB25</f>
        <v>0</v>
      </c>
      <c r="ZQ25" s="763">
        <f>'Проверочная  таблица'!ZE25-AAC25</f>
        <v>0</v>
      </c>
      <c r="ZR25" s="783">
        <f t="shared" si="173"/>
        <v>0</v>
      </c>
      <c r="ZS25" s="799">
        <f>'[1]Иные межбюджетные трансферты'!U21</f>
        <v>0</v>
      </c>
      <c r="ZT25" s="786">
        <f>'[1]Иные межбюджетные трансферты'!AC21</f>
        <v>0</v>
      </c>
      <c r="ZU25" s="787"/>
      <c r="ZV25" s="799">
        <f>'[1]Иные межбюджетные трансферты'!AU21</f>
        <v>0</v>
      </c>
      <c r="ZW25" s="751"/>
      <c r="ZX25" s="783">
        <f t="shared" si="174"/>
        <v>0</v>
      </c>
      <c r="ZY25" s="769"/>
      <c r="ZZ25" s="769">
        <f t="shared" si="247"/>
        <v>0</v>
      </c>
      <c r="AAA25" s="769"/>
      <c r="AAB25" s="751"/>
      <c r="AAC25" s="751"/>
      <c r="AAD25" s="957">
        <f>AAF25+'Проверочная  таблица'!AAN25+AAJ25+'Проверочная  таблица'!AAR25+AAL25+'Проверочная  таблица'!AAT25</f>
        <v>0</v>
      </c>
      <c r="AAE25" s="957">
        <f>AAG25+'Проверочная  таблица'!AAO25+AAK25+'Проверочная  таблица'!AAS25+AAM25+'Проверочная  таблица'!AAU25</f>
        <v>0</v>
      </c>
      <c r="AAF25" s="801"/>
      <c r="AAG25" s="801"/>
      <c r="AAH25" s="801"/>
      <c r="AAI25" s="801"/>
      <c r="AAJ25" s="1235">
        <f t="shared" si="175"/>
        <v>0</v>
      </c>
      <c r="AAK25" s="783">
        <f t="shared" si="175"/>
        <v>0</v>
      </c>
      <c r="AAL25" s="802"/>
      <c r="AAM25" s="783"/>
      <c r="AAN25" s="801"/>
      <c r="AAO25" s="801"/>
      <c r="AAP25" s="801"/>
      <c r="AAQ25" s="801"/>
      <c r="AAR25" s="1235">
        <f t="shared" si="176"/>
        <v>0</v>
      </c>
      <c r="AAS25" s="783">
        <f t="shared" si="176"/>
        <v>0</v>
      </c>
      <c r="AAT25" s="783"/>
      <c r="AAU25" s="783"/>
      <c r="AAV25" s="1246">
        <f>'Проверочная  таблица'!AAN25+'Проверочная  таблица'!AAP25</f>
        <v>0</v>
      </c>
      <c r="AAW25" s="1246">
        <f>'Проверочная  таблица'!AAO25+'Проверочная  таблица'!AAQ25</f>
        <v>0</v>
      </c>
    </row>
    <row r="26" spans="1:725" ht="24" customHeight="1" x14ac:dyDescent="0.25">
      <c r="A26" s="956" t="s">
        <v>1314</v>
      </c>
      <c r="B26" s="801">
        <f>D26+AN26+'Проверочная  таблица'!VJ26+'Проверочная  таблица'!WR26</f>
        <v>2043961956.6500001</v>
      </c>
      <c r="C26" s="957">
        <f>E26+'Проверочная  таблица'!VM26+AO26+'Проверочная  таблица'!WS26</f>
        <v>889728016.18999994</v>
      </c>
      <c r="D26" s="1234">
        <f t="shared" si="0"/>
        <v>120674905.73</v>
      </c>
      <c r="E26" s="801">
        <f t="shared" si="1"/>
        <v>61228656</v>
      </c>
      <c r="F26" s="1238">
        <f>'[1]Дотация  из  ОБ_факт'!M20</f>
        <v>64470007</v>
      </c>
      <c r="G26" s="1247">
        <v>32235000</v>
      </c>
      <c r="H26" s="1238">
        <f>'[1]Дотация  из  ОБ_факт'!G20</f>
        <v>15140742.73</v>
      </c>
      <c r="I26" s="1247">
        <v>7570368</v>
      </c>
      <c r="J26" s="1248">
        <f t="shared" si="2"/>
        <v>15140742.73</v>
      </c>
      <c r="K26" s="1249">
        <f t="shared" si="2"/>
        <v>7570368</v>
      </c>
      <c r="L26" s="1248">
        <f>'[1]Дотация  из  ОБ_факт'!K20</f>
        <v>0</v>
      </c>
      <c r="M26" s="785"/>
      <c r="N26" s="1238">
        <f>'[1]Дотация  из  ОБ_факт'!Q20</f>
        <v>524000</v>
      </c>
      <c r="O26" s="1247">
        <v>524000</v>
      </c>
      <c r="P26" s="1238">
        <f>'[1]Дотация  из  ОБ_факт'!S20</f>
        <v>38429281</v>
      </c>
      <c r="Q26" s="1247">
        <v>20299288</v>
      </c>
      <c r="R26" s="1248">
        <f t="shared" si="3"/>
        <v>38429281</v>
      </c>
      <c r="S26" s="1249">
        <f t="shared" si="3"/>
        <v>20299288</v>
      </c>
      <c r="T26" s="1248">
        <f>'[1]Дотация  из  ОБ_факт'!W20</f>
        <v>0</v>
      </c>
      <c r="U26" s="785"/>
      <c r="V26" s="790">
        <f t="shared" si="4"/>
        <v>600000</v>
      </c>
      <c r="W26" s="1250">
        <f>'[1]Дотация  из  ОБ_факт'!AA20</f>
        <v>0</v>
      </c>
      <c r="X26" s="1251">
        <f>'[1]Дотация  из  ОБ_факт'!AC20</f>
        <v>600000</v>
      </c>
      <c r="Y26" s="1251">
        <f>'[1]Дотация  из  ОБ_факт'!AG20</f>
        <v>0</v>
      </c>
      <c r="Z26" s="791">
        <f t="shared" si="5"/>
        <v>600000</v>
      </c>
      <c r="AA26" s="751">
        <f t="shared" si="180"/>
        <v>0</v>
      </c>
      <c r="AB26" s="751">
        <f t="shared" si="180"/>
        <v>600000</v>
      </c>
      <c r="AC26" s="786"/>
      <c r="AD26" s="790">
        <f t="shared" si="6"/>
        <v>1510875</v>
      </c>
      <c r="AE26" s="1250">
        <f>'[1]Дотация  из  ОБ_факт'!Y20</f>
        <v>1510875</v>
      </c>
      <c r="AF26" s="1251">
        <f>'[1]Дотация  из  ОБ_факт'!AE20</f>
        <v>0</v>
      </c>
      <c r="AG26" s="790">
        <f t="shared" si="7"/>
        <v>0</v>
      </c>
      <c r="AH26" s="787"/>
      <c r="AI26" s="786"/>
      <c r="AJ26" s="1248">
        <f t="shared" si="8"/>
        <v>1510875</v>
      </c>
      <c r="AK26" s="1249">
        <f t="shared" si="9"/>
        <v>0</v>
      </c>
      <c r="AL26" s="1248">
        <f>'[1]Дотация  из  ОБ_факт'!AE20</f>
        <v>0</v>
      </c>
      <c r="AM26" s="788"/>
      <c r="AN26" s="919">
        <f>'Проверочная  таблица'!VB26+'Проверочная  таблица'!VD26+BT26+BV26+CH26+CJ26+BH26+BL26+'Проверочная  таблица'!NB26+'Проверочная  таблица'!NR26+'Проверочная  таблица'!EB26+'Проверочная  таблица'!OJ26+DT26+'Проверочная  таблица'!JR26+'Проверочная  таблица'!JX26+'Проверочная  таблица'!OR26+'Проверочная  таблица'!OZ26+JL26+AP26+AV26+FB26+FH26+CV26+SX26+EH26+TL26+QH26+EN26+EV26+LV26+MD26+SR26+GV26+SD26+RF26+KP26+KZ26+RL26+SJ26+CP26+QZ26+HL26+GF26+HR26+HX26+FZ26+DJ26+PX26+CB26+IP26+JF26+HD26+GL26+IV26</f>
        <v>941683170.08000004</v>
      </c>
      <c r="AO26" s="920">
        <f>'Проверочная  таблица'!VC26+'Проверочная  таблица'!VE26+BU26+BW26+CI26+CK26+BJ26+BN26+'Проверочная  таблица'!NJ26+'Проверочная  таблица'!NU26+'Проверочная  таблица'!EE26+'Проверочная  таблица'!ON26+DX26+'Проверочная  таблица'!JU26+'Проверочная  таблица'!KA26+'Проверочная  таблица'!OV26+'Проверочная  таблица'!PD26+JO26+AS26+AX26+FE26+FK26+DC26+TE26+EK26+TS26+QK26+ER26+EY26+LZ26+MH26+SU26+GZ26+SG26+RI26+KU26+LE26+RO26+SN26+CS26+RC26+HO26+GI26+HU26+IA26+GC26+DM26+QC26+CE26+IS26+JI26+HF26+GO26+IY26</f>
        <v>156438737.15000001</v>
      </c>
      <c r="AP26" s="921">
        <f t="shared" si="10"/>
        <v>198119482.24000001</v>
      </c>
      <c r="AQ26" s="789">
        <f>[1]Субсидия_факт!HV22</f>
        <v>198119482.24000001</v>
      </c>
      <c r="AR26" s="770">
        <f>[1]Субсидия_факт!MR22</f>
        <v>0</v>
      </c>
      <c r="AS26" s="921">
        <f t="shared" si="11"/>
        <v>0</v>
      </c>
      <c r="AT26" s="770">
        <v>0</v>
      </c>
      <c r="AU26" s="789"/>
      <c r="AV26" s="910">
        <f t="shared" si="12"/>
        <v>0</v>
      </c>
      <c r="AW26" s="770">
        <f>[1]Субсидия_факт!MV22</f>
        <v>0</v>
      </c>
      <c r="AX26" s="1224">
        <f t="shared" si="13"/>
        <v>0</v>
      </c>
      <c r="AY26" s="770"/>
      <c r="AZ26" s="1225">
        <f t="shared" si="14"/>
        <v>0</v>
      </c>
      <c r="BA26" s="770">
        <f t="shared" si="15"/>
        <v>0</v>
      </c>
      <c r="BB26" s="783">
        <f t="shared" si="16"/>
        <v>0</v>
      </c>
      <c r="BC26" s="789">
        <f t="shared" si="17"/>
        <v>0</v>
      </c>
      <c r="BD26" s="782">
        <f t="shared" si="18"/>
        <v>0</v>
      </c>
      <c r="BE26" s="770">
        <f>[1]Субсидия_факт!MX22</f>
        <v>0</v>
      </c>
      <c r="BF26" s="802">
        <f t="shared" si="19"/>
        <v>0</v>
      </c>
      <c r="BG26" s="770"/>
      <c r="BH26" s="801">
        <f t="shared" si="20"/>
        <v>0</v>
      </c>
      <c r="BI26" s="770">
        <f>[1]Субсидия_факт!KZ22</f>
        <v>0</v>
      </c>
      <c r="BJ26" s="957">
        <f t="shared" si="21"/>
        <v>0</v>
      </c>
      <c r="BK26" s="770"/>
      <c r="BL26" s="801">
        <f t="shared" si="22"/>
        <v>0</v>
      </c>
      <c r="BM26" s="770">
        <f>[1]Субсидия_факт!LB22</f>
        <v>0</v>
      </c>
      <c r="BN26" s="957">
        <f t="shared" si="23"/>
        <v>0</v>
      </c>
      <c r="BO26" s="770"/>
      <c r="BP26" s="1235">
        <f t="shared" si="24"/>
        <v>0</v>
      </c>
      <c r="BQ26" s="783">
        <f t="shared" si="25"/>
        <v>0</v>
      </c>
      <c r="BR26" s="1252">
        <f t="shared" si="26"/>
        <v>0</v>
      </c>
      <c r="BS26" s="1235">
        <f t="shared" si="27"/>
        <v>0</v>
      </c>
      <c r="BT26" s="801">
        <f>[1]Субсидия_факт!GV22</f>
        <v>0</v>
      </c>
      <c r="BU26" s="790"/>
      <c r="BV26" s="1253">
        <f>[1]Субсидия_факт!GX22</f>
        <v>0</v>
      </c>
      <c r="BW26" s="791"/>
      <c r="BX26" s="1252">
        <f t="shared" si="28"/>
        <v>0</v>
      </c>
      <c r="BY26" s="1235">
        <f t="shared" si="28"/>
        <v>0</v>
      </c>
      <c r="BZ26" s="783">
        <f>[1]Субсидия_факт!GZ22</f>
        <v>0</v>
      </c>
      <c r="CA26" s="785"/>
      <c r="CB26" s="846">
        <f t="shared" si="29"/>
        <v>198119482.24000001</v>
      </c>
      <c r="CC26" s="766">
        <f>[1]Субсидия_факт!HL22</f>
        <v>198119482.24000001</v>
      </c>
      <c r="CD26" s="770">
        <f>[1]Субсидия_факт!HN22</f>
        <v>0</v>
      </c>
      <c r="CE26" s="921">
        <f t="shared" si="30"/>
        <v>0</v>
      </c>
      <c r="CF26" s="770"/>
      <c r="CG26" s="770"/>
      <c r="CH26" s="957">
        <f>[1]Субсидия_факт!HB22</f>
        <v>0</v>
      </c>
      <c r="CI26" s="792"/>
      <c r="CJ26" s="957">
        <f>[1]Субсидия_факт!HD22</f>
        <v>0</v>
      </c>
      <c r="CK26" s="791"/>
      <c r="CL26" s="1226">
        <f t="shared" si="31"/>
        <v>0</v>
      </c>
      <c r="CM26" s="782">
        <f t="shared" si="31"/>
        <v>0</v>
      </c>
      <c r="CN26" s="1225">
        <f>[1]Субсидия_факт!HF22</f>
        <v>0</v>
      </c>
      <c r="CO26" s="753"/>
      <c r="CP26" s="846">
        <f t="shared" si="32"/>
        <v>0</v>
      </c>
      <c r="CQ26" s="766">
        <f>[1]Субсидия_факт!HP22</f>
        <v>0</v>
      </c>
      <c r="CR26" s="770">
        <f>[1]Субсидия_факт!HR22</f>
        <v>0</v>
      </c>
      <c r="CS26" s="921">
        <f t="shared" si="33"/>
        <v>0</v>
      </c>
      <c r="CT26" s="770"/>
      <c r="CU26" s="770"/>
      <c r="CV26" s="910">
        <f t="shared" si="34"/>
        <v>290000000</v>
      </c>
      <c r="CW26" s="763">
        <f>[1]Субсидия_факт!LR22</f>
        <v>0</v>
      </c>
      <c r="CX26" s="762">
        <f>[1]Субсидия_факт!LT22</f>
        <v>0</v>
      </c>
      <c r="CY26" s="754">
        <f>[1]Субсидия_факт!LV22</f>
        <v>14500000</v>
      </c>
      <c r="CZ26" s="762">
        <f>[1]Субсидия_факт!MB22</f>
        <v>275500000</v>
      </c>
      <c r="DA26" s="754">
        <f>[1]Субсидия_факт!MH22</f>
        <v>0</v>
      </c>
      <c r="DB26" s="762">
        <f>[1]Субсидия_факт!MJ22</f>
        <v>0</v>
      </c>
      <c r="DC26" s="910">
        <f t="shared" si="35"/>
        <v>87232661.799999997</v>
      </c>
      <c r="DD26" s="755"/>
      <c r="DE26" s="762"/>
      <c r="DF26" s="754">
        <v>4361633.09</v>
      </c>
      <c r="DG26" s="762">
        <v>82871028.709999993</v>
      </c>
      <c r="DH26" s="754"/>
      <c r="DI26" s="762"/>
      <c r="DJ26" s="920">
        <f t="shared" si="205"/>
        <v>0</v>
      </c>
      <c r="DK26" s="763">
        <f>[1]Субсидия_факт!LX22</f>
        <v>0</v>
      </c>
      <c r="DL26" s="762">
        <f>[1]Субсидия_факт!MD22</f>
        <v>0</v>
      </c>
      <c r="DM26" s="910">
        <f t="shared" si="37"/>
        <v>0</v>
      </c>
      <c r="DN26" s="763"/>
      <c r="DO26" s="764"/>
      <c r="DP26" s="1226">
        <f t="shared" si="206"/>
        <v>0</v>
      </c>
      <c r="DQ26" s="782">
        <f t="shared" si="207"/>
        <v>0</v>
      </c>
      <c r="DR26" s="1225">
        <f t="shared" si="208"/>
        <v>0</v>
      </c>
      <c r="DS26" s="753">
        <f t="shared" si="209"/>
        <v>0</v>
      </c>
      <c r="DT26" s="957">
        <f t="shared" si="210"/>
        <v>3200000</v>
      </c>
      <c r="DU26" s="789">
        <f>[1]Субсидия_факт!R22</f>
        <v>3200000</v>
      </c>
      <c r="DV26" s="766">
        <f>[1]Субсидия_факт!T22</f>
        <v>0</v>
      </c>
      <c r="DW26" s="770">
        <f>[1]Субсидия_факт!V22</f>
        <v>0</v>
      </c>
      <c r="DX26" s="957">
        <f t="shared" si="211"/>
        <v>0</v>
      </c>
      <c r="DY26" s="806"/>
      <c r="DZ26" s="806"/>
      <c r="EA26" s="806"/>
      <c r="EB26" s="846">
        <f t="shared" si="38"/>
        <v>0</v>
      </c>
      <c r="EC26" s="766">
        <f>[1]Субсидия_факт!AX22</f>
        <v>0</v>
      </c>
      <c r="ED26" s="767">
        <f>[1]Субсидия_факт!AZ22</f>
        <v>0</v>
      </c>
      <c r="EE26" s="957">
        <f t="shared" si="39"/>
        <v>0</v>
      </c>
      <c r="EF26" s="789"/>
      <c r="EG26" s="793"/>
      <c r="EH26" s="801">
        <f t="shared" si="40"/>
        <v>0</v>
      </c>
      <c r="EI26" s="766">
        <f>[1]Субсидия_факт!X22</f>
        <v>0</v>
      </c>
      <c r="EJ26" s="767">
        <f>[1]Субсидия_факт!Z22</f>
        <v>0</v>
      </c>
      <c r="EK26" s="957">
        <f t="shared" si="41"/>
        <v>0</v>
      </c>
      <c r="EL26" s="766"/>
      <c r="EM26" s="767"/>
      <c r="EN26" s="920">
        <f t="shared" si="212"/>
        <v>0</v>
      </c>
      <c r="EO26" s="763">
        <f>[1]Субсидия_факт!AP22</f>
        <v>0</v>
      </c>
      <c r="EP26" s="763">
        <f>[1]Субсидия_факт!AL22</f>
        <v>0</v>
      </c>
      <c r="EQ26" s="764">
        <f>[1]Субсидия_факт!AN22</f>
        <v>0</v>
      </c>
      <c r="ER26" s="920">
        <f t="shared" si="42"/>
        <v>0</v>
      </c>
      <c r="ES26" s="763"/>
      <c r="ET26" s="763"/>
      <c r="EU26" s="764"/>
      <c r="EV26" s="920">
        <f t="shared" si="43"/>
        <v>0</v>
      </c>
      <c r="EW26" s="763">
        <f>[1]Субсидия_факт!HH22</f>
        <v>0</v>
      </c>
      <c r="EX26" s="762">
        <f>[1]Субсидия_факт!HJ22</f>
        <v>0</v>
      </c>
      <c r="EY26" s="910">
        <f t="shared" si="44"/>
        <v>0</v>
      </c>
      <c r="EZ26" s="763"/>
      <c r="FA26" s="762"/>
      <c r="FB26" s="920">
        <f t="shared" si="45"/>
        <v>0</v>
      </c>
      <c r="FC26" s="766">
        <f>[1]Субсидия_факт!PK22</f>
        <v>0</v>
      </c>
      <c r="FD26" s="767">
        <f>[1]Субсидия_факт!PQ22</f>
        <v>0</v>
      </c>
      <c r="FE26" s="910">
        <f t="shared" si="46"/>
        <v>0</v>
      </c>
      <c r="FF26" s="763"/>
      <c r="FG26" s="764"/>
      <c r="FH26" s="920">
        <f t="shared" si="47"/>
        <v>0</v>
      </c>
      <c r="FI26" s="763">
        <f>[1]Субсидия_факт!PM22</f>
        <v>0</v>
      </c>
      <c r="FJ26" s="762">
        <f>[1]Субсидия_факт!PS22</f>
        <v>0</v>
      </c>
      <c r="FK26" s="910">
        <f t="shared" si="48"/>
        <v>0</v>
      </c>
      <c r="FL26" s="763"/>
      <c r="FM26" s="764"/>
      <c r="FN26" s="1233">
        <f t="shared" si="49"/>
        <v>0</v>
      </c>
      <c r="FO26" s="763">
        <f t="shared" si="50"/>
        <v>0</v>
      </c>
      <c r="FP26" s="762">
        <f t="shared" si="50"/>
        <v>0</v>
      </c>
      <c r="FQ26" s="782">
        <f t="shared" si="51"/>
        <v>0</v>
      </c>
      <c r="FR26" s="763">
        <f t="shared" si="52"/>
        <v>0</v>
      </c>
      <c r="FS26" s="762">
        <f t="shared" si="52"/>
        <v>0</v>
      </c>
      <c r="FT26" s="1233">
        <f t="shared" si="53"/>
        <v>0</v>
      </c>
      <c r="FU26" s="763">
        <f>[1]Субсидия_факт!PO22</f>
        <v>0</v>
      </c>
      <c r="FV26" s="762">
        <f>[1]Субсидия_факт!PU22</f>
        <v>0</v>
      </c>
      <c r="FW26" s="782">
        <f t="shared" si="54"/>
        <v>0</v>
      </c>
      <c r="FX26" s="763"/>
      <c r="FY26" s="764"/>
      <c r="FZ26" s="920">
        <f t="shared" si="55"/>
        <v>0</v>
      </c>
      <c r="GA26" s="766">
        <f>[1]Субсидия_факт!EP22</f>
        <v>0</v>
      </c>
      <c r="GB26" s="767">
        <f>[1]Субсидия_факт!ER22</f>
        <v>0</v>
      </c>
      <c r="GC26" s="1234">
        <f t="shared" si="56"/>
        <v>0</v>
      </c>
      <c r="GD26" s="766"/>
      <c r="GE26" s="767"/>
      <c r="GF26" s="801">
        <f t="shared" si="57"/>
        <v>0</v>
      </c>
      <c r="GG26" s="766">
        <f>[1]Субсидия_факт!JN22</f>
        <v>0</v>
      </c>
      <c r="GH26" s="767">
        <f>[1]Субсидия_факт!JP22</f>
        <v>0</v>
      </c>
      <c r="GI26" s="801">
        <f t="shared" si="58"/>
        <v>0</v>
      </c>
      <c r="GJ26" s="766"/>
      <c r="GK26" s="767"/>
      <c r="GL26" s="1235">
        <f t="shared" si="59"/>
        <v>0</v>
      </c>
      <c r="GM26" s="763">
        <f>[1]Субсидия_факт!JR22</f>
        <v>0</v>
      </c>
      <c r="GN26" s="764">
        <f>[1]Субсидия_факт!JV22</f>
        <v>0</v>
      </c>
      <c r="GO26" s="1235">
        <f t="shared" si="60"/>
        <v>0</v>
      </c>
      <c r="GP26" s="766"/>
      <c r="GQ26" s="793"/>
      <c r="GR26" s="1235">
        <f t="shared" si="213"/>
        <v>0</v>
      </c>
      <c r="GS26" s="783">
        <f t="shared" si="214"/>
        <v>0</v>
      </c>
      <c r="GT26" s="1252">
        <f t="shared" si="215"/>
        <v>0</v>
      </c>
      <c r="GU26" s="783">
        <f t="shared" si="216"/>
        <v>0</v>
      </c>
      <c r="GV26" s="1234">
        <f t="shared" si="61"/>
        <v>0</v>
      </c>
      <c r="GW26" s="766">
        <f>[1]Субсидия_факт!KL22</f>
        <v>0</v>
      </c>
      <c r="GX26" s="767">
        <f>[1]Субсидия_факт!KN22</f>
        <v>0</v>
      </c>
      <c r="GY26" s="766">
        <f>[1]Субсидия_факт!KP22</f>
        <v>0</v>
      </c>
      <c r="GZ26" s="801">
        <f t="shared" si="62"/>
        <v>0</v>
      </c>
      <c r="HA26" s="766"/>
      <c r="HB26" s="767"/>
      <c r="HC26" s="770"/>
      <c r="HD26" s="1235">
        <f t="shared" si="217"/>
        <v>0</v>
      </c>
      <c r="HE26" s="766">
        <f>[1]Субсидия_факт!KR22</f>
        <v>0</v>
      </c>
      <c r="HF26" s="1235">
        <f t="shared" si="217"/>
        <v>0</v>
      </c>
      <c r="HG26" s="770"/>
      <c r="HH26" s="1235">
        <f t="shared" si="218"/>
        <v>0</v>
      </c>
      <c r="HI26" s="1235">
        <f t="shared" si="219"/>
        <v>0</v>
      </c>
      <c r="HJ26" s="1235">
        <f t="shared" si="220"/>
        <v>0</v>
      </c>
      <c r="HK26" s="1235">
        <f t="shared" si="221"/>
        <v>0</v>
      </c>
      <c r="HL26" s="801">
        <f t="shared" si="63"/>
        <v>0</v>
      </c>
      <c r="HM26" s="766">
        <f>[1]Субсидия_факт!KV22</f>
        <v>0</v>
      </c>
      <c r="HN26" s="767">
        <f>[1]Субсидия_факт!KX22</f>
        <v>0</v>
      </c>
      <c r="HO26" s="957">
        <f t="shared" si="64"/>
        <v>0</v>
      </c>
      <c r="HP26" s="766"/>
      <c r="HQ26" s="767"/>
      <c r="HR26" s="801">
        <f t="shared" si="65"/>
        <v>0</v>
      </c>
      <c r="HS26" s="766"/>
      <c r="HT26" s="767"/>
      <c r="HU26" s="957">
        <f t="shared" si="66"/>
        <v>0</v>
      </c>
      <c r="HV26" s="766"/>
      <c r="HW26" s="767"/>
      <c r="HX26" s="801">
        <f t="shared" si="67"/>
        <v>0</v>
      </c>
      <c r="HY26" s="766">
        <f>[1]Субсидия_факт!FV22</f>
        <v>0</v>
      </c>
      <c r="HZ26" s="767">
        <f>[1]Субсидия_факт!FZ22</f>
        <v>0</v>
      </c>
      <c r="IA26" s="957">
        <f t="shared" si="68"/>
        <v>0</v>
      </c>
      <c r="IB26" s="766"/>
      <c r="IC26" s="767"/>
      <c r="ID26" s="1233">
        <f t="shared" si="69"/>
        <v>0</v>
      </c>
      <c r="IE26" s="763">
        <f t="shared" si="70"/>
        <v>0</v>
      </c>
      <c r="IF26" s="762">
        <f t="shared" si="70"/>
        <v>0</v>
      </c>
      <c r="IG26" s="782">
        <f t="shared" si="71"/>
        <v>0</v>
      </c>
      <c r="IH26" s="763">
        <f t="shared" si="72"/>
        <v>0</v>
      </c>
      <c r="II26" s="762">
        <f t="shared" si="72"/>
        <v>0</v>
      </c>
      <c r="IJ26" s="1233">
        <f t="shared" si="73"/>
        <v>0</v>
      </c>
      <c r="IK26" s="763">
        <f>[1]Субсидия_факт!FX22</f>
        <v>0</v>
      </c>
      <c r="IL26" s="762">
        <f>[1]Субсидия_факт!GB22</f>
        <v>0</v>
      </c>
      <c r="IM26" s="782">
        <f t="shared" si="74"/>
        <v>0</v>
      </c>
      <c r="IN26" s="763">
        <f t="shared" si="188"/>
        <v>0</v>
      </c>
      <c r="IO26" s="764">
        <f t="shared" si="189"/>
        <v>0</v>
      </c>
      <c r="IP26" s="801">
        <f t="shared" si="75"/>
        <v>0</v>
      </c>
      <c r="IQ26" s="763">
        <f>[1]Субсидия_факт!ED22</f>
        <v>0</v>
      </c>
      <c r="IR26" s="764">
        <f>[1]Субсидия_факт!EF22</f>
        <v>0</v>
      </c>
      <c r="IS26" s="957">
        <f t="shared" si="76"/>
        <v>0</v>
      </c>
      <c r="IT26" s="766"/>
      <c r="IU26" s="767"/>
      <c r="IV26" s="1259">
        <f t="shared" si="77"/>
        <v>0</v>
      </c>
      <c r="IW26" s="763">
        <f>[1]Субсидия_факт!EH22</f>
        <v>0</v>
      </c>
      <c r="IX26" s="764">
        <f>[1]Субсидия_факт!EL22</f>
        <v>0</v>
      </c>
      <c r="IY26" s="1254">
        <f t="shared" si="78"/>
        <v>0</v>
      </c>
      <c r="IZ26" s="766"/>
      <c r="JA26" s="793"/>
      <c r="JB26" s="1235">
        <f t="shared" si="222"/>
        <v>0</v>
      </c>
      <c r="JC26" s="1235">
        <f t="shared" si="223"/>
        <v>0</v>
      </c>
      <c r="JD26" s="1235">
        <f t="shared" si="224"/>
        <v>0</v>
      </c>
      <c r="JE26" s="783">
        <f t="shared" si="225"/>
        <v>0</v>
      </c>
      <c r="JF26" s="1234">
        <f t="shared" si="79"/>
        <v>0</v>
      </c>
      <c r="JG26" s="763">
        <f>[1]Субсидия_факт!BX22</f>
        <v>0</v>
      </c>
      <c r="JH26" s="764">
        <f>[1]Субсидия_факт!BZ22</f>
        <v>0</v>
      </c>
      <c r="JI26" s="957">
        <f t="shared" si="80"/>
        <v>0</v>
      </c>
      <c r="JJ26" s="766"/>
      <c r="JK26" s="767"/>
      <c r="JL26" s="801">
        <f t="shared" si="81"/>
        <v>0</v>
      </c>
      <c r="JM26" s="766">
        <f>[1]Субсидия_факт!ET22</f>
        <v>0</v>
      </c>
      <c r="JN26" s="767">
        <f>[1]Субсидия_факт!EV22</f>
        <v>0</v>
      </c>
      <c r="JO26" s="957">
        <f t="shared" si="82"/>
        <v>0</v>
      </c>
      <c r="JP26" s="766"/>
      <c r="JQ26" s="767"/>
      <c r="JR26" s="910">
        <f t="shared" si="83"/>
        <v>0</v>
      </c>
      <c r="JS26" s="763">
        <f>[1]Субсидия_факт!EX22</f>
        <v>0</v>
      </c>
      <c r="JT26" s="762">
        <f>[1]Субсидия_факт!FD22</f>
        <v>0</v>
      </c>
      <c r="JU26" s="910">
        <f t="shared" si="84"/>
        <v>0</v>
      </c>
      <c r="JV26" s="763"/>
      <c r="JW26" s="764"/>
      <c r="JX26" s="910">
        <f t="shared" si="85"/>
        <v>0</v>
      </c>
      <c r="JY26" s="763">
        <f>[1]Субсидия_факт!EZ22</f>
        <v>0</v>
      </c>
      <c r="JZ26" s="764">
        <f>[1]Субсидия_факт!FF22</f>
        <v>0</v>
      </c>
      <c r="KA26" s="910">
        <f t="shared" si="86"/>
        <v>0</v>
      </c>
      <c r="KB26" s="754"/>
      <c r="KC26" s="768"/>
      <c r="KD26" s="910">
        <f t="shared" si="87"/>
        <v>-140950.64000000001</v>
      </c>
      <c r="KE26" s="755">
        <f>'Проверочная  таблица'!JY26-'Проверочная  таблица'!KK26</f>
        <v>-36647.170000000013</v>
      </c>
      <c r="KF26" s="764">
        <f>'Проверочная  таблица'!JZ26-'Проверочная  таблица'!KL26</f>
        <v>-104303.47</v>
      </c>
      <c r="KG26" s="1225">
        <f t="shared" si="88"/>
        <v>0</v>
      </c>
      <c r="KH26" s="754">
        <f>'Проверочная  таблица'!KB26-'Проверочная  таблица'!KN26</f>
        <v>0</v>
      </c>
      <c r="KI26" s="771">
        <f>'Проверочная  таблица'!KC26-'Проверочная  таблица'!KO26</f>
        <v>0</v>
      </c>
      <c r="KJ26" s="910">
        <f t="shared" si="89"/>
        <v>140950.64000000001</v>
      </c>
      <c r="KK26" s="763">
        <f>[1]Субсидия_факт!FB22</f>
        <v>36647.170000000013</v>
      </c>
      <c r="KL26" s="762">
        <f>[1]Субсидия_факт!FH22</f>
        <v>104303.47</v>
      </c>
      <c r="KM26" s="782">
        <f t="shared" si="90"/>
        <v>0</v>
      </c>
      <c r="KN26" s="763"/>
      <c r="KO26" s="764"/>
      <c r="KP26" s="1217">
        <f t="shared" si="226"/>
        <v>4354579.2700000005</v>
      </c>
      <c r="KQ26" s="754">
        <f>[1]Субсидия_факт!OD22</f>
        <v>1716530</v>
      </c>
      <c r="KR26" s="764">
        <f>[1]Субсидия_факт!OJ22</f>
        <v>253019.27</v>
      </c>
      <c r="KS26" s="754">
        <f>[1]Субсидия_факт!OR22</f>
        <v>867072.14</v>
      </c>
      <c r="KT26" s="764">
        <f>[1]Субсидия_факт!OT22</f>
        <v>1517957.86</v>
      </c>
      <c r="KU26" s="1217">
        <f t="shared" si="91"/>
        <v>0</v>
      </c>
      <c r="KV26" s="754"/>
      <c r="KW26" s="764"/>
      <c r="KX26" s="754"/>
      <c r="KY26" s="764"/>
      <c r="KZ26" s="1217">
        <f t="shared" si="227"/>
        <v>851160</v>
      </c>
      <c r="LA26" s="789">
        <f>[1]Субсидия_факт!OF22</f>
        <v>851160</v>
      </c>
      <c r="LB26" s="767">
        <f>[1]Субсидия_факт!OL22</f>
        <v>0</v>
      </c>
      <c r="LC26" s="789"/>
      <c r="LD26" s="767"/>
      <c r="LE26" s="1217">
        <f t="shared" si="92"/>
        <v>0</v>
      </c>
      <c r="LF26" s="754"/>
      <c r="LG26" s="764"/>
      <c r="LH26" s="754"/>
      <c r="LI26" s="764"/>
      <c r="LJ26" s="1219">
        <f t="shared" si="93"/>
        <v>-682710</v>
      </c>
      <c r="LK26" s="789">
        <f t="shared" si="94"/>
        <v>-682710</v>
      </c>
      <c r="LL26" s="767">
        <f t="shared" si="94"/>
        <v>0</v>
      </c>
      <c r="LM26" s="1219">
        <f t="shared" si="95"/>
        <v>0</v>
      </c>
      <c r="LN26" s="789">
        <f t="shared" si="96"/>
        <v>0</v>
      </c>
      <c r="LO26" s="767">
        <f t="shared" si="96"/>
        <v>0</v>
      </c>
      <c r="LP26" s="1219">
        <f t="shared" si="97"/>
        <v>1533870</v>
      </c>
      <c r="LQ26" s="763">
        <f>[1]Субсидия_факт!OH22</f>
        <v>1533870</v>
      </c>
      <c r="LR26" s="762">
        <f>[1]Субсидия_факт!ON22</f>
        <v>0</v>
      </c>
      <c r="LS26" s="1219">
        <f t="shared" si="98"/>
        <v>0</v>
      </c>
      <c r="LT26" s="755"/>
      <c r="LU26" s="764"/>
      <c r="LV26" s="957">
        <f t="shared" si="228"/>
        <v>0</v>
      </c>
      <c r="LW26" s="769">
        <f>[1]Субсидия_факт!DP22</f>
        <v>0</v>
      </c>
      <c r="LX26" s="754">
        <f>[1]Субсидия_факт!CB22</f>
        <v>0</v>
      </c>
      <c r="LY26" s="764">
        <f>[1]Субсидия_факт!CH22</f>
        <v>0</v>
      </c>
      <c r="LZ26" s="957">
        <f t="shared" si="99"/>
        <v>0</v>
      </c>
      <c r="MA26" s="769"/>
      <c r="MB26" s="754"/>
      <c r="MC26" s="764"/>
      <c r="MD26" s="957">
        <f t="shared" si="229"/>
        <v>20828108.109999999</v>
      </c>
      <c r="ME26" s="769">
        <f>[1]Субсидия_факт!DR22</f>
        <v>0</v>
      </c>
      <c r="MF26" s="754">
        <f>[1]Субсидия_факт!CD22</f>
        <v>5415308.1099999994</v>
      </c>
      <c r="MG26" s="764">
        <f>[1]Субсидия_факт!CJ22</f>
        <v>15412800</v>
      </c>
      <c r="MH26" s="957">
        <f t="shared" si="100"/>
        <v>10642921.93</v>
      </c>
      <c r="MI26" s="769"/>
      <c r="MJ26" s="754">
        <v>2767159.7</v>
      </c>
      <c r="MK26" s="762">
        <v>7875762.2300000004</v>
      </c>
      <c r="ML26" s="783">
        <f t="shared" si="101"/>
        <v>20828108.109999999</v>
      </c>
      <c r="MM26" s="766">
        <f>'Проверочная  таблица'!ME26-MU26</f>
        <v>0</v>
      </c>
      <c r="MN26" s="766">
        <f>'Проверочная  таблица'!MF26-MV26</f>
        <v>5415308.1099999994</v>
      </c>
      <c r="MO26" s="767">
        <f>'Проверочная  таблица'!MG26-MW26</f>
        <v>15412800</v>
      </c>
      <c r="MP26" s="783">
        <f t="shared" si="102"/>
        <v>10642921.93</v>
      </c>
      <c r="MQ26" s="766">
        <f>'Проверочная  таблица'!MI26-MY26</f>
        <v>0</v>
      </c>
      <c r="MR26" s="766">
        <f>'Проверочная  таблица'!MJ26-MZ26</f>
        <v>2767159.7</v>
      </c>
      <c r="MS26" s="767">
        <f>'Проверочная  таблица'!MK26-NA26</f>
        <v>7875762.2300000004</v>
      </c>
      <c r="MT26" s="783">
        <f t="shared" si="103"/>
        <v>0</v>
      </c>
      <c r="MU26" s="754">
        <f>[1]Субсидия_факт!DT22</f>
        <v>0</v>
      </c>
      <c r="MV26" s="754">
        <f>[1]Субсидия_факт!CF22</f>
        <v>0</v>
      </c>
      <c r="MW26" s="764">
        <f>[1]Субсидия_факт!CL22</f>
        <v>0</v>
      </c>
      <c r="MX26" s="783">
        <f t="shared" si="104"/>
        <v>0</v>
      </c>
      <c r="MY26" s="754"/>
      <c r="MZ26" s="754"/>
      <c r="NA26" s="764"/>
      <c r="NB26" s="1224">
        <f t="shared" si="230"/>
        <v>140950.64000000001</v>
      </c>
      <c r="NC26" s="754">
        <f>[1]Субсидия_факт!CN22</f>
        <v>0</v>
      </c>
      <c r="ND26" s="762">
        <f>[1]Субсидия_факт!CP22</f>
        <v>0</v>
      </c>
      <c r="NE26" s="766">
        <f>[1]Субсидия_факт!CR22</f>
        <v>0</v>
      </c>
      <c r="NF26" s="767">
        <f>[1]Субсидия_факт!CT22</f>
        <v>0</v>
      </c>
      <c r="NG26" s="755">
        <f>[1]Субсидия_факт!DV22</f>
        <v>0</v>
      </c>
      <c r="NH26" s="763">
        <f>[1]Субсидия_факт!FJ22</f>
        <v>36647.170000000013</v>
      </c>
      <c r="NI26" s="762">
        <f>[1]Субсидия_факт!FP22</f>
        <v>104303.47</v>
      </c>
      <c r="NJ26" s="910">
        <f t="shared" si="105"/>
        <v>140950.64000000001</v>
      </c>
      <c r="NK26" s="754"/>
      <c r="NL26" s="764"/>
      <c r="NM26" s="770"/>
      <c r="NN26" s="794"/>
      <c r="NO26" s="754"/>
      <c r="NP26" s="754">
        <f>NH26</f>
        <v>36647.170000000013</v>
      </c>
      <c r="NQ26" s="764">
        <f t="shared" ref="NQ26:NQ28" si="249">NI26</f>
        <v>104303.47</v>
      </c>
      <c r="NR26" s="910">
        <f t="shared" si="231"/>
        <v>0</v>
      </c>
      <c r="NS26" s="763">
        <f>[1]Субсидия_факт!FL22</f>
        <v>0</v>
      </c>
      <c r="NT26" s="762">
        <f>[1]Субсидия_факт!FR22</f>
        <v>0</v>
      </c>
      <c r="NU26" s="910">
        <f t="shared" si="106"/>
        <v>0</v>
      </c>
      <c r="NV26" s="755"/>
      <c r="NW26" s="764"/>
      <c r="NX26" s="782">
        <f t="shared" si="107"/>
        <v>0</v>
      </c>
      <c r="NY26" s="763">
        <f>'Проверочная  таблица'!NS26-OE26</f>
        <v>0</v>
      </c>
      <c r="NZ26" s="764">
        <f>'Проверочная  таблица'!NT26-OF26</f>
        <v>0</v>
      </c>
      <c r="OA26" s="782">
        <f t="shared" si="108"/>
        <v>0</v>
      </c>
      <c r="OB26" s="754">
        <f>'Проверочная  таблица'!NV26-OH26</f>
        <v>0</v>
      </c>
      <c r="OC26" s="771">
        <f>'Проверочная  таблица'!NW26-OI26</f>
        <v>0</v>
      </c>
      <c r="OD26" s="782">
        <f t="shared" si="232"/>
        <v>0</v>
      </c>
      <c r="OE26" s="763">
        <f>[1]Субсидия_факт!FN22</f>
        <v>0</v>
      </c>
      <c r="OF26" s="762">
        <f>[1]Субсидия_факт!FT22</f>
        <v>0</v>
      </c>
      <c r="OG26" s="782">
        <f t="shared" si="109"/>
        <v>0</v>
      </c>
      <c r="OH26" s="754"/>
      <c r="OI26" s="764"/>
      <c r="OJ26" s="919">
        <f t="shared" si="233"/>
        <v>0</v>
      </c>
      <c r="OK26" s="763">
        <f>[1]Субсидия_факт!AR22</f>
        <v>0</v>
      </c>
      <c r="OL26" s="762">
        <f>[1]Субсидия_факт!AT22</f>
        <v>0</v>
      </c>
      <c r="OM26" s="763">
        <f>[1]Субсидия_факт!AV22</f>
        <v>0</v>
      </c>
      <c r="ON26" s="957">
        <f t="shared" si="110"/>
        <v>0</v>
      </c>
      <c r="OO26" s="770"/>
      <c r="OP26" s="767"/>
      <c r="OQ26" s="770"/>
      <c r="OR26" s="1238">
        <f t="shared" si="111"/>
        <v>14087061.09</v>
      </c>
      <c r="OS26" s="763">
        <f>[1]Субсидия_факт!GD22</f>
        <v>0</v>
      </c>
      <c r="OT26" s="762">
        <f>[1]Субсидия_факт!GJ22</f>
        <v>14087061.09</v>
      </c>
      <c r="OU26" s="770">
        <f>[1]Субсидия_факт!GP22</f>
        <v>0</v>
      </c>
      <c r="OV26" s="1238">
        <f t="shared" si="112"/>
        <v>0</v>
      </c>
      <c r="OW26" s="755"/>
      <c r="OX26" s="764"/>
      <c r="OY26" s="754"/>
      <c r="OZ26" s="1217">
        <f t="shared" si="234"/>
        <v>14087061.09</v>
      </c>
      <c r="PA26" s="763">
        <f>[1]Субсидия_факт!GF22</f>
        <v>0</v>
      </c>
      <c r="PB26" s="762">
        <f>[1]Субсидия_факт!GL22</f>
        <v>0</v>
      </c>
      <c r="PC26" s="754">
        <f>[1]Субсидия_факт!GR22</f>
        <v>14087061.09</v>
      </c>
      <c r="PD26" s="1217">
        <f t="shared" si="113"/>
        <v>2103234.33</v>
      </c>
      <c r="PE26" s="754"/>
      <c r="PF26" s="771"/>
      <c r="PG26" s="754">
        <v>2103234.33</v>
      </c>
      <c r="PH26" s="1219">
        <f t="shared" si="114"/>
        <v>14087061.09</v>
      </c>
      <c r="PI26" s="789">
        <f>'Проверочная  таблица'!PA26-PQ26</f>
        <v>0</v>
      </c>
      <c r="PJ26" s="767">
        <f>'Проверочная  таблица'!PB26-PR26</f>
        <v>0</v>
      </c>
      <c r="PK26" s="770">
        <f>'Проверочная  таблица'!PC26-PS26</f>
        <v>14087061.09</v>
      </c>
      <c r="PL26" s="1219">
        <f t="shared" si="235"/>
        <v>2103234.33</v>
      </c>
      <c r="PM26" s="755">
        <f>'Проверочная  таблица'!PE26-PU26</f>
        <v>0</v>
      </c>
      <c r="PN26" s="764">
        <f>'Проверочная  таблица'!PF26-PV26</f>
        <v>0</v>
      </c>
      <c r="PO26" s="754">
        <f>'Проверочная  таблица'!PG26-PW26</f>
        <v>2103234.33</v>
      </c>
      <c r="PP26" s="1219">
        <f t="shared" si="115"/>
        <v>0</v>
      </c>
      <c r="PQ26" s="763">
        <f>[1]Субсидия_факт!GH22</f>
        <v>0</v>
      </c>
      <c r="PR26" s="762">
        <f>[1]Субсидия_факт!GN22</f>
        <v>0</v>
      </c>
      <c r="PS26" s="763">
        <f>[1]Субсидия_факт!GT22</f>
        <v>0</v>
      </c>
      <c r="PT26" s="1219">
        <f t="shared" si="116"/>
        <v>0</v>
      </c>
      <c r="PU26" s="755">
        <f t="shared" si="193"/>
        <v>0</v>
      </c>
      <c r="PV26" s="764">
        <f t="shared" si="194"/>
        <v>0</v>
      </c>
      <c r="PW26" s="763"/>
      <c r="PX26" s="910">
        <f t="shared" si="195"/>
        <v>0</v>
      </c>
      <c r="PY26" s="766">
        <f>[1]Субсидия_факт!JB22</f>
        <v>0</v>
      </c>
      <c r="PZ26" s="767">
        <f>[1]Субсидия_факт!JH22</f>
        <v>0</v>
      </c>
      <c r="QA26" s="766"/>
      <c r="QB26" s="767"/>
      <c r="QC26" s="910">
        <f t="shared" si="196"/>
        <v>0</v>
      </c>
      <c r="QD26" s="770"/>
      <c r="QE26" s="794"/>
      <c r="QF26" s="770"/>
      <c r="QG26" s="794"/>
      <c r="QH26" s="957">
        <f t="shared" si="117"/>
        <v>1614205</v>
      </c>
      <c r="QI26" s="766">
        <f>[1]Субсидия_факт!JD22</f>
        <v>80710.25</v>
      </c>
      <c r="QJ26" s="767">
        <f>[1]Субсидия_факт!JJ22</f>
        <v>1533494.75</v>
      </c>
      <c r="QK26" s="1253">
        <f t="shared" si="118"/>
        <v>1248022.27</v>
      </c>
      <c r="QL26" s="770">
        <v>62401.11</v>
      </c>
      <c r="QM26" s="794">
        <v>1185621.1599999999</v>
      </c>
      <c r="QN26" s="783">
        <f t="shared" si="236"/>
        <v>1614205</v>
      </c>
      <c r="QO26" s="770">
        <f t="shared" si="119"/>
        <v>80710.25</v>
      </c>
      <c r="QP26" s="767">
        <f t="shared" si="119"/>
        <v>1533494.75</v>
      </c>
      <c r="QQ26" s="1235">
        <f t="shared" si="120"/>
        <v>1248022.27</v>
      </c>
      <c r="QR26" s="766">
        <f t="shared" si="121"/>
        <v>62401.11</v>
      </c>
      <c r="QS26" s="767">
        <f t="shared" si="121"/>
        <v>1185621.1599999999</v>
      </c>
      <c r="QT26" s="1235">
        <f t="shared" si="122"/>
        <v>0</v>
      </c>
      <c r="QU26" s="766">
        <f>[1]Субсидия_факт!JF22</f>
        <v>0</v>
      </c>
      <c r="QV26" s="767">
        <f>[1]Субсидия_факт!JL22</f>
        <v>0</v>
      </c>
      <c r="QW26" s="783">
        <f t="shared" si="237"/>
        <v>0</v>
      </c>
      <c r="QX26" s="770"/>
      <c r="QY26" s="794"/>
      <c r="QZ26" s="801">
        <f t="shared" si="123"/>
        <v>0</v>
      </c>
      <c r="RA26" s="766">
        <f>[1]Субсидия_факт!CV22</f>
        <v>0</v>
      </c>
      <c r="RB26" s="767">
        <f>[1]Субсидия_факт!CX22</f>
        <v>0</v>
      </c>
      <c r="RC26" s="957">
        <f t="shared" si="124"/>
        <v>0</v>
      </c>
      <c r="RD26" s="766"/>
      <c r="RE26" s="767"/>
      <c r="RF26" s="801">
        <f t="shared" si="125"/>
        <v>0</v>
      </c>
      <c r="RG26" s="766">
        <f>[1]Субсидия_факт!CZ22</f>
        <v>0</v>
      </c>
      <c r="RH26" s="767">
        <f>[1]Субсидия_факт!DF22</f>
        <v>0</v>
      </c>
      <c r="RI26" s="957">
        <f t="shared" si="126"/>
        <v>0</v>
      </c>
      <c r="RJ26" s="766"/>
      <c r="RK26" s="767"/>
      <c r="RL26" s="801">
        <f t="shared" si="127"/>
        <v>0</v>
      </c>
      <c r="RM26" s="766">
        <f>[1]Субсидия_факт!DB22</f>
        <v>0</v>
      </c>
      <c r="RN26" s="767">
        <f>[1]Субсидия_факт!DH22</f>
        <v>0</v>
      </c>
      <c r="RO26" s="957">
        <f t="shared" si="128"/>
        <v>0</v>
      </c>
      <c r="RP26" s="766"/>
      <c r="RQ26" s="767"/>
      <c r="RR26" s="1235">
        <f t="shared" si="129"/>
        <v>0</v>
      </c>
      <c r="RS26" s="766">
        <f t="shared" si="130"/>
        <v>0</v>
      </c>
      <c r="RT26" s="767">
        <f t="shared" si="130"/>
        <v>0</v>
      </c>
      <c r="RU26" s="783">
        <f t="shared" si="131"/>
        <v>0</v>
      </c>
      <c r="RV26" s="766">
        <f t="shared" si="132"/>
        <v>0</v>
      </c>
      <c r="RW26" s="767">
        <f t="shared" si="132"/>
        <v>0</v>
      </c>
      <c r="RX26" s="801">
        <f t="shared" si="133"/>
        <v>0</v>
      </c>
      <c r="RY26" s="766">
        <f>[1]Субсидия_факт!DD22</f>
        <v>0</v>
      </c>
      <c r="RZ26" s="767">
        <f>[1]Субсидия_факт!DJ22</f>
        <v>0</v>
      </c>
      <c r="SA26" s="783">
        <f t="shared" si="134"/>
        <v>0</v>
      </c>
      <c r="SB26" s="766"/>
      <c r="SC26" s="767"/>
      <c r="SD26" s="801">
        <f t="shared" si="135"/>
        <v>0</v>
      </c>
      <c r="SE26" s="766">
        <f>[1]Субсидия_факт!DL22</f>
        <v>0</v>
      </c>
      <c r="SF26" s="767">
        <f>[1]Субсидия_факт!DN22</f>
        <v>0</v>
      </c>
      <c r="SG26" s="1253">
        <f t="shared" si="136"/>
        <v>0</v>
      </c>
      <c r="SH26" s="789"/>
      <c r="SI26" s="793"/>
      <c r="SJ26" s="957">
        <f t="shared" si="238"/>
        <v>0</v>
      </c>
      <c r="SK26" s="763">
        <f>[1]Субсидия_факт!BJ22</f>
        <v>0</v>
      </c>
      <c r="SL26" s="766">
        <f>[1]Субсидия_факт!BF22</f>
        <v>0</v>
      </c>
      <c r="SM26" s="793">
        <f>[1]Субсидия_факт!BH22</f>
        <v>0</v>
      </c>
      <c r="SN26" s="957">
        <f t="shared" si="137"/>
        <v>0</v>
      </c>
      <c r="SO26" s="795"/>
      <c r="SP26" s="789"/>
      <c r="SQ26" s="793"/>
      <c r="SR26" s="801">
        <f t="shared" si="138"/>
        <v>0</v>
      </c>
      <c r="SS26" s="766">
        <f>[1]Субсидия_факт!AD22</f>
        <v>0</v>
      </c>
      <c r="ST26" s="767">
        <f>[1]Субсидия_факт!AF22</f>
        <v>0</v>
      </c>
      <c r="SU26" s="957">
        <f t="shared" si="139"/>
        <v>0</v>
      </c>
      <c r="SV26" s="789"/>
      <c r="SW26" s="793"/>
      <c r="SX26" s="801">
        <f t="shared" si="239"/>
        <v>0</v>
      </c>
      <c r="SY26" s="766">
        <f>[1]Субсидия_факт!ID22</f>
        <v>0</v>
      </c>
      <c r="SZ26" s="767">
        <f>[1]Субсидия_факт!IJ22</f>
        <v>0</v>
      </c>
      <c r="TA26" s="789">
        <f>[1]Субсидия_факт!IP22</f>
        <v>0</v>
      </c>
      <c r="TB26" s="767">
        <f>[1]Субсидия_факт!IV22</f>
        <v>0</v>
      </c>
      <c r="TC26" s="1028">
        <f>[1]Субсидия_факт!JZ22</f>
        <v>0</v>
      </c>
      <c r="TD26" s="793">
        <f>[1]Субсидия_факт!KF22</f>
        <v>0</v>
      </c>
      <c r="TE26" s="957">
        <f t="shared" si="140"/>
        <v>0</v>
      </c>
      <c r="TF26" s="1162"/>
      <c r="TG26" s="794"/>
      <c r="TH26" s="1162"/>
      <c r="TI26" s="794"/>
      <c r="TJ26" s="1028"/>
      <c r="TK26" s="793"/>
      <c r="TL26" s="801">
        <f t="shared" si="141"/>
        <v>0</v>
      </c>
      <c r="TM26" s="766">
        <f>[1]Субсидия_факт!IF22</f>
        <v>0</v>
      </c>
      <c r="TN26" s="767">
        <f>[1]Субсидия_факт!IL22</f>
        <v>0</v>
      </c>
      <c r="TO26" s="789">
        <f>[1]Субсидия_факт!IR22</f>
        <v>0</v>
      </c>
      <c r="TP26" s="767">
        <f>[1]Субсидия_факт!IX22</f>
        <v>0</v>
      </c>
      <c r="TQ26" s="789">
        <f>[1]Субсидия_факт!KB22</f>
        <v>0</v>
      </c>
      <c r="TR26" s="767">
        <f>[1]Субсидия_факт!KH22</f>
        <v>0</v>
      </c>
      <c r="TS26" s="957">
        <f t="shared" si="142"/>
        <v>0</v>
      </c>
      <c r="TT26" s="770"/>
      <c r="TU26" s="794"/>
      <c r="TV26" s="1028"/>
      <c r="TW26" s="794"/>
      <c r="TX26" s="770"/>
      <c r="TY26" s="794"/>
      <c r="TZ26" s="783">
        <f t="shared" si="143"/>
        <v>-1999900</v>
      </c>
      <c r="UA26" s="766">
        <f t="shared" si="144"/>
        <v>0</v>
      </c>
      <c r="UB26" s="767">
        <f t="shared" si="144"/>
        <v>0</v>
      </c>
      <c r="UC26" s="766">
        <f t="shared" si="144"/>
        <v>-99995</v>
      </c>
      <c r="UD26" s="767">
        <f t="shared" si="144"/>
        <v>-1899905</v>
      </c>
      <c r="UE26" s="789">
        <f t="shared" si="144"/>
        <v>0</v>
      </c>
      <c r="UF26" s="767">
        <f t="shared" si="144"/>
        <v>0</v>
      </c>
      <c r="UG26" s="783">
        <f t="shared" si="145"/>
        <v>0</v>
      </c>
      <c r="UH26" s="766">
        <f t="shared" si="146"/>
        <v>0</v>
      </c>
      <c r="UI26" s="767">
        <f t="shared" si="146"/>
        <v>0</v>
      </c>
      <c r="UJ26" s="766">
        <f t="shared" si="146"/>
        <v>0</v>
      </c>
      <c r="UK26" s="767">
        <f t="shared" si="146"/>
        <v>0</v>
      </c>
      <c r="UL26" s="789">
        <f t="shared" si="146"/>
        <v>0</v>
      </c>
      <c r="UM26" s="767">
        <f t="shared" si="146"/>
        <v>0</v>
      </c>
      <c r="UN26" s="1235">
        <f t="shared" si="147"/>
        <v>1999900</v>
      </c>
      <c r="UO26" s="766">
        <f>[1]Субсидия_факт!IH22</f>
        <v>0</v>
      </c>
      <c r="UP26" s="767">
        <f>[1]Субсидия_факт!IN22</f>
        <v>0</v>
      </c>
      <c r="UQ26" s="789">
        <f>[1]Субсидия_факт!IT22</f>
        <v>99995</v>
      </c>
      <c r="UR26" s="767">
        <f>[1]Субсидия_факт!IZ22</f>
        <v>1899905</v>
      </c>
      <c r="US26" s="789">
        <f>[1]Субсидия_факт!KD22</f>
        <v>0</v>
      </c>
      <c r="UT26" s="767">
        <f>[1]Субсидия_факт!KJ22</f>
        <v>0</v>
      </c>
      <c r="UU26" s="783">
        <f t="shared" si="148"/>
        <v>0</v>
      </c>
      <c r="UV26" s="1028"/>
      <c r="UW26" s="794"/>
      <c r="UX26" s="1028"/>
      <c r="UY26" s="794"/>
      <c r="UZ26" s="1028"/>
      <c r="VA26" s="794"/>
      <c r="VB26" s="957">
        <f>'Прочая  субсидия_МР  и  ГО'!B21</f>
        <v>193206230.41000003</v>
      </c>
      <c r="VC26" s="957">
        <f>'Прочая  субсидия_МР  и  ГО'!C21</f>
        <v>53356067.230000004</v>
      </c>
      <c r="VD26" s="1234">
        <f>'Прочая  субсидия_БП'!B21</f>
        <v>3074849.99</v>
      </c>
      <c r="VE26" s="801">
        <f>'Прочая  субсидия_БП'!C21</f>
        <v>1714878.9500000002</v>
      </c>
      <c r="VF26" s="1255">
        <f>'Прочая  субсидия_БП'!D21</f>
        <v>3074849.99</v>
      </c>
      <c r="VG26" s="1248">
        <f>'Прочая  субсидия_БП'!E21</f>
        <v>1714878.9500000002</v>
      </c>
      <c r="VH26" s="1249">
        <f>'Прочая  субсидия_БП'!F21</f>
        <v>0</v>
      </c>
      <c r="VI26" s="1255">
        <f>'Прочая  субсидия_БП'!G21</f>
        <v>0</v>
      </c>
      <c r="VJ26" s="801">
        <f t="shared" si="149"/>
        <v>899349610.21000004</v>
      </c>
      <c r="VK26" s="770">
        <f>'Проверочная  таблица'!WM26+'Проверочная  таблица'!VP26+'Проверочная  таблица'!VR26+WG26</f>
        <v>873920861.07000005</v>
      </c>
      <c r="VL26" s="795">
        <f>'Проверочная  таблица'!WN26+'Проверочная  таблица'!VV26+'Проверочная  таблица'!WB26+'Проверочная  таблица'!VX26+'Проверочная  таблица'!VZ26+WD26+WH26+VT26</f>
        <v>25428749.140000001</v>
      </c>
      <c r="VM26" s="957">
        <f t="shared" si="150"/>
        <v>645197356.27999997</v>
      </c>
      <c r="VN26" s="770">
        <f>'Проверочная  таблица'!WP26+'Проверочная  таблица'!VQ26+'Проверочная  таблица'!VS26+WJ26</f>
        <v>628901689.31999993</v>
      </c>
      <c r="VO26" s="795">
        <f>'Проверочная  таблица'!WQ26+'Проверочная  таблица'!VW26+'Проверочная  таблица'!WC26+'Проверочная  таблица'!VY26+'Проверочная  таблица'!WA26+WE26+WK26+VU26</f>
        <v>16295666.960000001</v>
      </c>
      <c r="VP26" s="1253">
        <f>'Субвенция  на  полномочия'!B21</f>
        <v>836190542.13999999</v>
      </c>
      <c r="VQ26" s="1234">
        <f>'Субвенция  на  полномочия'!C21</f>
        <v>608007754.39999998</v>
      </c>
      <c r="VR26" s="790">
        <f>[1]Субвенция_факт!M21*1000</f>
        <v>28902300</v>
      </c>
      <c r="VS26" s="796">
        <v>15000000</v>
      </c>
      <c r="VT26" s="790">
        <f>[1]Субвенция_факт!AE21*1000</f>
        <v>0</v>
      </c>
      <c r="VU26" s="796"/>
      <c r="VV26" s="790">
        <f>[1]Субвенция_факт!AF21*1000</f>
        <v>4907000</v>
      </c>
      <c r="VW26" s="796">
        <f>ВУС!E133</f>
        <v>1773342.0699999998</v>
      </c>
      <c r="VX26" s="1256">
        <f>[1]Субвенция_факт!AG21*1000</f>
        <v>0</v>
      </c>
      <c r="VY26" s="797"/>
      <c r="VZ26" s="792">
        <f>[1]Субвенция_факт!E21*1000</f>
        <v>0</v>
      </c>
      <c r="WA26" s="797"/>
      <c r="WB26" s="792">
        <f>[1]Субвенция_факт!F21*1000</f>
        <v>0</v>
      </c>
      <c r="WC26" s="797"/>
      <c r="WD26" s="791">
        <f>[1]Субвенция_факт!G21*1000</f>
        <v>0</v>
      </c>
      <c r="WE26" s="796"/>
      <c r="WF26" s="801">
        <f t="shared" si="151"/>
        <v>26509120.460000001</v>
      </c>
      <c r="WG26" s="766">
        <f>[1]Субвенция_факт!P21*1000</f>
        <v>6892371.3200000003</v>
      </c>
      <c r="WH26" s="767">
        <f>[1]Субвенция_факт!Q21*1000</f>
        <v>19616749.140000001</v>
      </c>
      <c r="WI26" s="957">
        <f t="shared" si="152"/>
        <v>19092057.420000002</v>
      </c>
      <c r="WJ26" s="770">
        <v>4963934.92</v>
      </c>
      <c r="WK26" s="798">
        <v>14128122.5</v>
      </c>
      <c r="WL26" s="957">
        <f t="shared" si="153"/>
        <v>2840647.61</v>
      </c>
      <c r="WM26" s="799">
        <f>[1]Субвенция_факт!X21*1000</f>
        <v>1935647.6099999999</v>
      </c>
      <c r="WN26" s="800">
        <f>[1]Субвенция_факт!W21*1000</f>
        <v>905000</v>
      </c>
      <c r="WO26" s="957">
        <f t="shared" si="154"/>
        <v>1324202.3900000001</v>
      </c>
      <c r="WP26" s="770">
        <v>930000</v>
      </c>
      <c r="WQ26" s="798">
        <v>394202.39</v>
      </c>
      <c r="WR26" s="957">
        <f t="shared" si="240"/>
        <v>82254270.629999995</v>
      </c>
      <c r="WS26" s="957">
        <f t="shared" si="241"/>
        <v>26863266.760000002</v>
      </c>
      <c r="WT26" s="1253">
        <f t="shared" si="155"/>
        <v>0</v>
      </c>
      <c r="WU26" s="799">
        <f>'[1]Иные межбюджетные трансферты'!AM22</f>
        <v>0</v>
      </c>
      <c r="WV26" s="800">
        <f>'[1]Иные межбюджетные трансферты'!AO22</f>
        <v>0</v>
      </c>
      <c r="WW26" s="1253">
        <f t="shared" si="156"/>
        <v>0</v>
      </c>
      <c r="WX26" s="799"/>
      <c r="WY26" s="800"/>
      <c r="WZ26" s="957">
        <f t="shared" si="157"/>
        <v>3235429.67</v>
      </c>
      <c r="XA26" s="799">
        <f>'[1]Иные межбюджетные трансферты'!AI22</f>
        <v>161771.49</v>
      </c>
      <c r="XB26" s="800">
        <f>'[1]Иные межбюджетные трансферты'!AK22</f>
        <v>3073658.1799999997</v>
      </c>
      <c r="XC26" s="957">
        <f t="shared" si="158"/>
        <v>1573617.6600000001</v>
      </c>
      <c r="XD26" s="799">
        <v>78680.87</v>
      </c>
      <c r="XE26" s="800">
        <v>1494936.79</v>
      </c>
      <c r="XF26" s="957">
        <f t="shared" si="159"/>
        <v>23565756</v>
      </c>
      <c r="XG26" s="799">
        <f>'[1]Иные межбюджетные трансферты'!I22</f>
        <v>0</v>
      </c>
      <c r="XH26" s="800">
        <f>'[1]Иные межбюджетные трансферты'!K22</f>
        <v>23565756</v>
      </c>
      <c r="XI26" s="957">
        <f t="shared" si="242"/>
        <v>23565756</v>
      </c>
      <c r="XJ26" s="786"/>
      <c r="XK26" s="800">
        <v>23565756</v>
      </c>
      <c r="XL26" s="957">
        <f t="shared" si="161"/>
        <v>0</v>
      </c>
      <c r="XM26" s="789"/>
      <c r="XN26" s="957">
        <f t="shared" si="162"/>
        <v>0</v>
      </c>
      <c r="XO26" s="789"/>
      <c r="XP26" s="801">
        <f t="shared" si="163"/>
        <v>0</v>
      </c>
      <c r="XQ26" s="766">
        <f>'[1]Иные межбюджетные трансферты'!M22</f>
        <v>0</v>
      </c>
      <c r="XR26" s="957">
        <f t="shared" si="164"/>
        <v>0</v>
      </c>
      <c r="XS26" s="770"/>
      <c r="XT26" s="1252">
        <f t="shared" si="165"/>
        <v>0</v>
      </c>
      <c r="XU26" s="783">
        <f t="shared" si="166"/>
        <v>0</v>
      </c>
      <c r="XV26" s="1252">
        <f t="shared" si="167"/>
        <v>0</v>
      </c>
      <c r="XW26" s="783">
        <f t="shared" si="168"/>
        <v>0</v>
      </c>
      <c r="XX26" s="957">
        <f t="shared" si="243"/>
        <v>16688651.710000001</v>
      </c>
      <c r="XY26" s="787">
        <f>'[1]Иные межбюджетные трансферты'!E22</f>
        <v>0</v>
      </c>
      <c r="XZ26" s="799">
        <f>'[1]Иные межбюджетные трансферты'!G22</f>
        <v>13660680</v>
      </c>
      <c r="YA26" s="786">
        <f>'[1]Иные межбюджетные трансферты'!Q22</f>
        <v>0</v>
      </c>
      <c r="YB26" s="787">
        <f>'[1]Иные межбюджетные трансферты'!W22</f>
        <v>0</v>
      </c>
      <c r="YC26" s="786">
        <f>'[1]Иные межбюджетные трансферты'!Y22</f>
        <v>0</v>
      </c>
      <c r="YD26" s="1116">
        <f>'[1]Иные межбюджетные трансферты'!AE22</f>
        <v>0</v>
      </c>
      <c r="YE26" s="786">
        <f>'[1]Иные межбюджетные трансферты'!AQ22</f>
        <v>0</v>
      </c>
      <c r="YF26" s="766">
        <f>'[1]Иные межбюджетные трансферты'!AW22</f>
        <v>0</v>
      </c>
      <c r="YG26" s="786">
        <f>'[1]Иные межбюджетные трансферты'!AY22</f>
        <v>0</v>
      </c>
      <c r="YH26" s="1116">
        <f>'[1]Иные межбюджетные трансферты'!BA22</f>
        <v>3027971.71</v>
      </c>
      <c r="YI26" s="957">
        <f t="shared" si="244"/>
        <v>1723893.1</v>
      </c>
      <c r="YJ26" s="786"/>
      <c r="YK26" s="786"/>
      <c r="YL26" s="755"/>
      <c r="YM26" s="786"/>
      <c r="YN26" s="751">
        <f t="shared" si="245"/>
        <v>0</v>
      </c>
      <c r="YO26" s="751"/>
      <c r="YP26" s="751"/>
      <c r="YQ26" s="751"/>
      <c r="YR26" s="751"/>
      <c r="YS26" s="751">
        <v>1723893.1</v>
      </c>
      <c r="YT26" s="957">
        <f t="shared" si="169"/>
        <v>38764433.25</v>
      </c>
      <c r="YU26" s="799">
        <f>'[1]Иные межбюджетные трансферты'!S22</f>
        <v>831546.72000000009</v>
      </c>
      <c r="YV26" s="786">
        <f>'[1]Иные межбюджетные трансферты'!AA22</f>
        <v>0</v>
      </c>
      <c r="YW26" s="1116">
        <f>'[1]Иные межбюджетные трансферты'!AG22</f>
        <v>31068513.449999999</v>
      </c>
      <c r="YX26" s="787">
        <f>'[1]Иные межбюджетные трансферты'!AS22</f>
        <v>0</v>
      </c>
      <c r="YY26" s="751">
        <f>'[1]Иные межбюджетные трансферты'!BC22</f>
        <v>6864373.0800000001</v>
      </c>
      <c r="YZ26" s="957">
        <f t="shared" si="170"/>
        <v>0</v>
      </c>
      <c r="ZA26" s="769"/>
      <c r="ZB26" s="769">
        <f t="shared" si="246"/>
        <v>0</v>
      </c>
      <c r="ZC26" s="769"/>
      <c r="ZD26" s="751"/>
      <c r="ZE26" s="751"/>
      <c r="ZF26" s="783">
        <f t="shared" si="171"/>
        <v>38764433.25</v>
      </c>
      <c r="ZG26" s="763">
        <f>'Проверочная  таблица'!YU26-ZS26</f>
        <v>831546.72000000009</v>
      </c>
      <c r="ZH26" s="763">
        <f>'Проверочная  таблица'!YV26-ZT26</f>
        <v>0</v>
      </c>
      <c r="ZI26" s="763">
        <f>'Проверочная  таблица'!YW26-ZU26</f>
        <v>31068513.449999999</v>
      </c>
      <c r="ZJ26" s="763">
        <f>'Проверочная  таблица'!YX26-ZV26</f>
        <v>0</v>
      </c>
      <c r="ZK26" s="763">
        <f>'Проверочная  таблица'!YY26-ZW26</f>
        <v>6864373.0800000001</v>
      </c>
      <c r="ZL26" s="783">
        <f t="shared" si="172"/>
        <v>0</v>
      </c>
      <c r="ZM26" s="763">
        <f>'Проверочная  таблица'!ZA26-ZY26</f>
        <v>0</v>
      </c>
      <c r="ZN26" s="763">
        <f>'Проверочная  таблица'!ZB26-ZZ26</f>
        <v>0</v>
      </c>
      <c r="ZO26" s="763">
        <f>'Проверочная  таблица'!ZC26-AAA26</f>
        <v>0</v>
      </c>
      <c r="ZP26" s="763">
        <f>'Проверочная  таблица'!ZD26-AAB26</f>
        <v>0</v>
      </c>
      <c r="ZQ26" s="763">
        <f>'Проверочная  таблица'!ZE26-AAC26</f>
        <v>0</v>
      </c>
      <c r="ZR26" s="783">
        <f t="shared" si="173"/>
        <v>0</v>
      </c>
      <c r="ZS26" s="799">
        <f>'[1]Иные межбюджетные трансферты'!U22</f>
        <v>0</v>
      </c>
      <c r="ZT26" s="786">
        <f>'[1]Иные межбюджетные трансферты'!AC22</f>
        <v>0</v>
      </c>
      <c r="ZU26" s="787"/>
      <c r="ZV26" s="799">
        <f>'[1]Иные межбюджетные трансферты'!AU22</f>
        <v>0</v>
      </c>
      <c r="ZW26" s="751"/>
      <c r="ZX26" s="783">
        <f t="shared" si="174"/>
        <v>0</v>
      </c>
      <c r="ZY26" s="769"/>
      <c r="ZZ26" s="769">
        <f t="shared" si="247"/>
        <v>0</v>
      </c>
      <c r="AAA26" s="769"/>
      <c r="AAB26" s="751"/>
      <c r="AAC26" s="751"/>
      <c r="AAD26" s="957">
        <f>AAF26+'Проверочная  таблица'!AAN26+AAJ26+'Проверочная  таблица'!AAR26+AAL26+'Проверочная  таблица'!AAT26</f>
        <v>0</v>
      </c>
      <c r="AAE26" s="957">
        <f>AAG26+'Проверочная  таблица'!AAO26+AAK26+'Проверочная  таблица'!AAS26+AAM26+'Проверочная  таблица'!AAU26</f>
        <v>0</v>
      </c>
      <c r="AAF26" s="801"/>
      <c r="AAG26" s="801"/>
      <c r="AAH26" s="801"/>
      <c r="AAI26" s="801"/>
      <c r="AAJ26" s="1235">
        <f t="shared" si="175"/>
        <v>0</v>
      </c>
      <c r="AAK26" s="783">
        <f t="shared" si="175"/>
        <v>0</v>
      </c>
      <c r="AAL26" s="802"/>
      <c r="AAM26" s="783"/>
      <c r="AAN26" s="801"/>
      <c r="AAO26" s="801"/>
      <c r="AAP26" s="801"/>
      <c r="AAQ26" s="801"/>
      <c r="AAR26" s="1235">
        <f t="shared" si="176"/>
        <v>0</v>
      </c>
      <c r="AAS26" s="783">
        <f t="shared" si="176"/>
        <v>0</v>
      </c>
      <c r="AAT26" s="783"/>
      <c r="AAU26" s="783"/>
      <c r="AAV26" s="1246">
        <f>'Проверочная  таблица'!AAN26+'Проверочная  таблица'!AAP26</f>
        <v>0</v>
      </c>
      <c r="AAW26" s="1246">
        <f>'Проверочная  таблица'!AAO26+'Проверочная  таблица'!AAQ26</f>
        <v>0</v>
      </c>
    </row>
    <row r="27" spans="1:725" ht="24" customHeight="1" x14ac:dyDescent="0.25">
      <c r="A27" s="803" t="s">
        <v>1315</v>
      </c>
      <c r="B27" s="801">
        <f>D27+AN27+'Проверочная  таблица'!VJ27+'Проверочная  таблица'!WR27</f>
        <v>671792031.76999998</v>
      </c>
      <c r="C27" s="957">
        <f>E27+'Проверочная  таблица'!VM27+AO27+'Проверочная  таблица'!WS27</f>
        <v>353312103.81999999</v>
      </c>
      <c r="D27" s="1234">
        <f t="shared" si="0"/>
        <v>90115904.609999999</v>
      </c>
      <c r="E27" s="801">
        <f t="shared" si="1"/>
        <v>46746282</v>
      </c>
      <c r="F27" s="1238">
        <f>'[1]Дотация  из  ОБ_факт'!M22</f>
        <v>36851869</v>
      </c>
      <c r="G27" s="1247">
        <v>18425934</v>
      </c>
      <c r="H27" s="1238">
        <f>'[1]Дотация  из  ОБ_факт'!G22</f>
        <v>26867877.609999999</v>
      </c>
      <c r="I27" s="1247">
        <v>14603538</v>
      </c>
      <c r="J27" s="1248">
        <f t="shared" si="2"/>
        <v>26867877.609999999</v>
      </c>
      <c r="K27" s="1249">
        <f t="shared" si="2"/>
        <v>14603538</v>
      </c>
      <c r="L27" s="1248">
        <f>'[1]Дотация  из  ОБ_факт'!K22</f>
        <v>0</v>
      </c>
      <c r="M27" s="785"/>
      <c r="N27" s="1238">
        <f>'[1]Дотация  из  ОБ_факт'!Q22</f>
        <v>0</v>
      </c>
      <c r="O27" s="1247"/>
      <c r="P27" s="1238">
        <f>'[1]Дотация  из  ОБ_факт'!S22</f>
        <v>25226033</v>
      </c>
      <c r="Q27" s="1247">
        <v>12616810</v>
      </c>
      <c r="R27" s="1248">
        <f t="shared" si="3"/>
        <v>25226033</v>
      </c>
      <c r="S27" s="1249">
        <f t="shared" si="3"/>
        <v>12616810</v>
      </c>
      <c r="T27" s="1248">
        <f>'[1]Дотация  из  ОБ_факт'!W22</f>
        <v>0</v>
      </c>
      <c r="U27" s="785"/>
      <c r="V27" s="790">
        <f t="shared" si="4"/>
        <v>1100000</v>
      </c>
      <c r="W27" s="1250">
        <f>'[1]Дотация  из  ОБ_факт'!AA22</f>
        <v>0</v>
      </c>
      <c r="X27" s="1251">
        <f>'[1]Дотация  из  ОБ_факт'!AC22</f>
        <v>1100000</v>
      </c>
      <c r="Y27" s="1251">
        <f>'[1]Дотация  из  ОБ_факт'!AG22</f>
        <v>0</v>
      </c>
      <c r="Z27" s="791">
        <f t="shared" si="5"/>
        <v>1100000</v>
      </c>
      <c r="AA27" s="751">
        <f t="shared" si="180"/>
        <v>0</v>
      </c>
      <c r="AB27" s="751">
        <f t="shared" si="180"/>
        <v>1100000</v>
      </c>
      <c r="AC27" s="786"/>
      <c r="AD27" s="790">
        <f t="shared" si="6"/>
        <v>70125</v>
      </c>
      <c r="AE27" s="1250">
        <f>'[1]Дотация  из  ОБ_факт'!Y22</f>
        <v>70125</v>
      </c>
      <c r="AF27" s="1251">
        <f>'[1]Дотация  из  ОБ_факт'!AE22</f>
        <v>0</v>
      </c>
      <c r="AG27" s="790">
        <f t="shared" si="7"/>
        <v>0</v>
      </c>
      <c r="AH27" s="787"/>
      <c r="AI27" s="786"/>
      <c r="AJ27" s="1248">
        <f t="shared" si="8"/>
        <v>70125</v>
      </c>
      <c r="AK27" s="1249">
        <f t="shared" si="9"/>
        <v>0</v>
      </c>
      <c r="AL27" s="1248">
        <f>'[1]Дотация  из  ОБ_факт'!AE22</f>
        <v>0</v>
      </c>
      <c r="AM27" s="788"/>
      <c r="AN27" s="919">
        <f>'Проверочная  таблица'!VB27+'Проверочная  таблица'!VD27+BT27+BV27+CH27+CJ27+BH27+BL27+'Проверочная  таблица'!NB27+'Проверочная  таблица'!NR27+'Проверочная  таблица'!EB27+'Проверочная  таблица'!OJ27+DT27+'Проверочная  таблица'!JR27+'Проверочная  таблица'!JX27+'Проверочная  таблица'!OR27+'Проверочная  таблица'!OZ27+JL27+AP27+AV27+FB27+FH27+CV27+SX27+EH27+TL27+QH27+EN27+EV27+LV27+MD27+SR27+GV27+SD27+RF27+KP27+KZ27+RL27+SJ27+CP27+QZ27+HL27+GF27+HR27+HX27+FZ27+DJ27+PX27+CB27+IP27+JF27+HD27+GL27+IV27</f>
        <v>122517629.78</v>
      </c>
      <c r="AO27" s="920">
        <f>'Проверочная  таблица'!VC27+'Проверочная  таблица'!VE27+BU27+BW27+CI27+CK27+BJ27+BN27+'Проверочная  таблица'!NJ27+'Проверочная  таблица'!NU27+'Проверочная  таблица'!EE27+'Проверочная  таблица'!ON27+DX27+'Проверочная  таблица'!JU27+'Проверочная  таблица'!KA27+'Проверочная  таблица'!OV27+'Проверочная  таблица'!PD27+JO27+AS27+AX27+FE27+FK27+DC27+TE27+EK27+TS27+QK27+ER27+EY27+LZ27+MH27+SU27+GZ27+SG27+RI27+KU27+LE27+RO27+SN27+CS27+RC27+HO27+GI27+HU27+IA27+GC27+DM27+QC27+CE27+IS27+JI27+HF27+GO27+IY27</f>
        <v>19036340.449999999</v>
      </c>
      <c r="AP27" s="957">
        <f t="shared" si="10"/>
        <v>20694920.82</v>
      </c>
      <c r="AQ27" s="789">
        <f>[1]Субсидия_факт!HV24</f>
        <v>20694920.82</v>
      </c>
      <c r="AR27" s="770">
        <f>[1]Субсидия_факт!MR24</f>
        <v>0</v>
      </c>
      <c r="AS27" s="957">
        <f t="shared" si="11"/>
        <v>4781422.42</v>
      </c>
      <c r="AT27" s="770">
        <v>4781422.42</v>
      </c>
      <c r="AU27" s="789"/>
      <c r="AV27" s="910">
        <f t="shared" si="12"/>
        <v>0</v>
      </c>
      <c r="AW27" s="770">
        <f>[1]Субсидия_факт!MV24</f>
        <v>0</v>
      </c>
      <c r="AX27" s="1224">
        <f t="shared" si="13"/>
        <v>0</v>
      </c>
      <c r="AY27" s="770"/>
      <c r="AZ27" s="1225">
        <f t="shared" si="14"/>
        <v>0</v>
      </c>
      <c r="BA27" s="770">
        <f t="shared" si="15"/>
        <v>0</v>
      </c>
      <c r="BB27" s="783">
        <f t="shared" si="16"/>
        <v>0</v>
      </c>
      <c r="BC27" s="789">
        <f t="shared" si="17"/>
        <v>0</v>
      </c>
      <c r="BD27" s="782">
        <f t="shared" si="18"/>
        <v>0</v>
      </c>
      <c r="BE27" s="770">
        <f>[1]Субсидия_факт!MX24</f>
        <v>0</v>
      </c>
      <c r="BF27" s="802">
        <f t="shared" si="19"/>
        <v>0</v>
      </c>
      <c r="BG27" s="770"/>
      <c r="BH27" s="801">
        <f t="shared" si="20"/>
        <v>0</v>
      </c>
      <c r="BI27" s="770">
        <f>[1]Субсидия_факт!KZ24</f>
        <v>0</v>
      </c>
      <c r="BJ27" s="957">
        <f t="shared" si="21"/>
        <v>0</v>
      </c>
      <c r="BK27" s="770"/>
      <c r="BL27" s="801">
        <f t="shared" si="22"/>
        <v>0</v>
      </c>
      <c r="BM27" s="770">
        <f>[1]Субсидия_факт!LB24</f>
        <v>0</v>
      </c>
      <c r="BN27" s="957">
        <f t="shared" si="23"/>
        <v>0</v>
      </c>
      <c r="BO27" s="770"/>
      <c r="BP27" s="1235">
        <f t="shared" si="24"/>
        <v>0</v>
      </c>
      <c r="BQ27" s="783">
        <f t="shared" si="25"/>
        <v>0</v>
      </c>
      <c r="BR27" s="1252">
        <f t="shared" si="26"/>
        <v>0</v>
      </c>
      <c r="BS27" s="1235">
        <f t="shared" si="27"/>
        <v>0</v>
      </c>
      <c r="BT27" s="801">
        <f>[1]Субсидия_факт!GV24</f>
        <v>0</v>
      </c>
      <c r="BU27" s="790"/>
      <c r="BV27" s="1253">
        <f>[1]Субсидия_факт!GX24</f>
        <v>0</v>
      </c>
      <c r="BW27" s="791"/>
      <c r="BX27" s="1252">
        <f t="shared" si="28"/>
        <v>0</v>
      </c>
      <c r="BY27" s="1235">
        <f t="shared" si="28"/>
        <v>0</v>
      </c>
      <c r="BZ27" s="783">
        <f>[1]Субсидия_факт!GZ24</f>
        <v>0</v>
      </c>
      <c r="CA27" s="785"/>
      <c r="CB27" s="801">
        <f t="shared" si="29"/>
        <v>20694920.82</v>
      </c>
      <c r="CC27" s="766">
        <f>[1]Субсидия_факт!HL24</f>
        <v>20694920.82</v>
      </c>
      <c r="CD27" s="770">
        <f>[1]Субсидия_факт!HN24</f>
        <v>0</v>
      </c>
      <c r="CE27" s="957">
        <f t="shared" si="30"/>
        <v>0</v>
      </c>
      <c r="CF27" s="770"/>
      <c r="CG27" s="770"/>
      <c r="CH27" s="957">
        <f>[1]Субсидия_факт!HB24</f>
        <v>0</v>
      </c>
      <c r="CI27" s="792"/>
      <c r="CJ27" s="957">
        <f>[1]Субсидия_факт!HD24</f>
        <v>0</v>
      </c>
      <c r="CK27" s="791"/>
      <c r="CL27" s="1226">
        <f t="shared" si="31"/>
        <v>0</v>
      </c>
      <c r="CM27" s="782">
        <f t="shared" si="31"/>
        <v>0</v>
      </c>
      <c r="CN27" s="1225">
        <f>[1]Субсидия_факт!HF24</f>
        <v>0</v>
      </c>
      <c r="CO27" s="753"/>
      <c r="CP27" s="801">
        <f t="shared" si="32"/>
        <v>0</v>
      </c>
      <c r="CQ27" s="766">
        <f>[1]Субсидия_факт!HP24</f>
        <v>0</v>
      </c>
      <c r="CR27" s="770">
        <f>[1]Субсидия_факт!HR24</f>
        <v>0</v>
      </c>
      <c r="CS27" s="957">
        <f t="shared" si="33"/>
        <v>0</v>
      </c>
      <c r="CT27" s="770"/>
      <c r="CU27" s="770"/>
      <c r="CV27" s="910">
        <f t="shared" si="34"/>
        <v>0</v>
      </c>
      <c r="CW27" s="763">
        <f>[1]Субсидия_факт!LR24</f>
        <v>0</v>
      </c>
      <c r="CX27" s="762">
        <f>[1]Субсидия_факт!LT24</f>
        <v>0</v>
      </c>
      <c r="CY27" s="754">
        <f>[1]Субсидия_факт!LV24</f>
        <v>0</v>
      </c>
      <c r="CZ27" s="762">
        <f>[1]Субсидия_факт!MB24</f>
        <v>0</v>
      </c>
      <c r="DA27" s="754">
        <f>[1]Субсидия_факт!MH24</f>
        <v>0</v>
      </c>
      <c r="DB27" s="762">
        <f>[1]Субсидия_факт!MJ24</f>
        <v>0</v>
      </c>
      <c r="DC27" s="910">
        <f t="shared" si="35"/>
        <v>0</v>
      </c>
      <c r="DD27" s="755"/>
      <c r="DE27" s="762"/>
      <c r="DF27" s="754"/>
      <c r="DG27" s="762"/>
      <c r="DH27" s="754"/>
      <c r="DI27" s="762"/>
      <c r="DJ27" s="920">
        <f t="shared" si="205"/>
        <v>0</v>
      </c>
      <c r="DK27" s="763">
        <f>[1]Субсидия_факт!LX24</f>
        <v>0</v>
      </c>
      <c r="DL27" s="762">
        <f>[1]Субсидия_факт!MD24</f>
        <v>0</v>
      </c>
      <c r="DM27" s="910">
        <f t="shared" si="37"/>
        <v>0</v>
      </c>
      <c r="DN27" s="763"/>
      <c r="DO27" s="764"/>
      <c r="DP27" s="1226">
        <f t="shared" si="206"/>
        <v>0</v>
      </c>
      <c r="DQ27" s="782">
        <f t="shared" si="207"/>
        <v>0</v>
      </c>
      <c r="DR27" s="1225">
        <f t="shared" si="208"/>
        <v>0</v>
      </c>
      <c r="DS27" s="753">
        <f t="shared" si="209"/>
        <v>0</v>
      </c>
      <c r="DT27" s="957">
        <f t="shared" si="210"/>
        <v>0</v>
      </c>
      <c r="DU27" s="789">
        <f>[1]Субсидия_факт!R24</f>
        <v>0</v>
      </c>
      <c r="DV27" s="766">
        <f>[1]Субсидия_факт!T24</f>
        <v>0</v>
      </c>
      <c r="DW27" s="770">
        <f>[1]Субсидия_факт!V24</f>
        <v>0</v>
      </c>
      <c r="DX27" s="957">
        <f t="shared" si="211"/>
        <v>0</v>
      </c>
      <c r="DY27" s="770"/>
      <c r="DZ27" s="770"/>
      <c r="EA27" s="770"/>
      <c r="EB27" s="801">
        <f t="shared" si="38"/>
        <v>0</v>
      </c>
      <c r="EC27" s="766">
        <f>[1]Субсидия_факт!AX24</f>
        <v>0</v>
      </c>
      <c r="ED27" s="767">
        <f>[1]Субсидия_факт!AZ24</f>
        <v>0</v>
      </c>
      <c r="EE27" s="957">
        <f t="shared" ref="EE27:EE30" si="250">SUM(EF27:EG27)</f>
        <v>0</v>
      </c>
      <c r="EF27" s="789"/>
      <c r="EG27" s="793"/>
      <c r="EH27" s="801">
        <f t="shared" si="40"/>
        <v>0</v>
      </c>
      <c r="EI27" s="766">
        <f>[1]Субсидия_факт!X24</f>
        <v>0</v>
      </c>
      <c r="EJ27" s="767">
        <f>[1]Субсидия_факт!Z24</f>
        <v>0</v>
      </c>
      <c r="EK27" s="957">
        <f t="shared" si="41"/>
        <v>0</v>
      </c>
      <c r="EL27" s="766"/>
      <c r="EM27" s="767"/>
      <c r="EN27" s="920">
        <f t="shared" si="212"/>
        <v>0</v>
      </c>
      <c r="EO27" s="763">
        <f>[1]Субсидия_факт!AP24</f>
        <v>0</v>
      </c>
      <c r="EP27" s="763">
        <f>[1]Субсидия_факт!AL24</f>
        <v>0</v>
      </c>
      <c r="EQ27" s="764">
        <f>[1]Субсидия_факт!AN24</f>
        <v>0</v>
      </c>
      <c r="ER27" s="920">
        <f t="shared" si="42"/>
        <v>0</v>
      </c>
      <c r="ES27" s="763"/>
      <c r="ET27" s="763"/>
      <c r="EU27" s="764"/>
      <c r="EV27" s="920">
        <f t="shared" si="43"/>
        <v>0</v>
      </c>
      <c r="EW27" s="763">
        <f>[1]Субсидия_факт!HH24</f>
        <v>0</v>
      </c>
      <c r="EX27" s="762">
        <f>[1]Субсидия_факт!HJ24</f>
        <v>0</v>
      </c>
      <c r="EY27" s="910">
        <f t="shared" si="44"/>
        <v>0</v>
      </c>
      <c r="EZ27" s="763"/>
      <c r="FA27" s="762"/>
      <c r="FB27" s="920">
        <f t="shared" si="45"/>
        <v>0</v>
      </c>
      <c r="FC27" s="766">
        <f>[1]Субсидия_факт!PK24</f>
        <v>0</v>
      </c>
      <c r="FD27" s="767">
        <f>[1]Субсидия_факт!PQ24</f>
        <v>0</v>
      </c>
      <c r="FE27" s="910">
        <f t="shared" si="46"/>
        <v>0</v>
      </c>
      <c r="FF27" s="763"/>
      <c r="FG27" s="764"/>
      <c r="FH27" s="920">
        <f t="shared" si="47"/>
        <v>2384624.2599999998</v>
      </c>
      <c r="FI27" s="763">
        <f>[1]Субсидия_факт!PM24</f>
        <v>622417.85999999987</v>
      </c>
      <c r="FJ27" s="762">
        <f>[1]Субсидия_факт!PS24</f>
        <v>1762206.4</v>
      </c>
      <c r="FK27" s="910">
        <f t="shared" si="48"/>
        <v>115046.19</v>
      </c>
      <c r="FL27" s="763">
        <v>30028.55</v>
      </c>
      <c r="FM27" s="764">
        <v>85017.64</v>
      </c>
      <c r="FN27" s="1233">
        <f t="shared" si="49"/>
        <v>2384624.2599999998</v>
      </c>
      <c r="FO27" s="763">
        <f t="shared" si="50"/>
        <v>622417.85999999987</v>
      </c>
      <c r="FP27" s="762">
        <f t="shared" si="50"/>
        <v>1762206.4</v>
      </c>
      <c r="FQ27" s="782">
        <f t="shared" si="51"/>
        <v>115046.19</v>
      </c>
      <c r="FR27" s="763">
        <f t="shared" si="52"/>
        <v>30028.55</v>
      </c>
      <c r="FS27" s="762">
        <f t="shared" si="52"/>
        <v>85017.64</v>
      </c>
      <c r="FT27" s="1233">
        <f t="shared" si="53"/>
        <v>0</v>
      </c>
      <c r="FU27" s="763">
        <f>[1]Субсидия_факт!PO24</f>
        <v>0</v>
      </c>
      <c r="FV27" s="762">
        <f>[1]Субсидия_факт!PU24</f>
        <v>0</v>
      </c>
      <c r="FW27" s="782">
        <f t="shared" si="54"/>
        <v>0</v>
      </c>
      <c r="FX27" s="763"/>
      <c r="FY27" s="764"/>
      <c r="FZ27" s="920">
        <f t="shared" si="55"/>
        <v>0</v>
      </c>
      <c r="GA27" s="766">
        <f>[1]Субсидия_факт!EP24</f>
        <v>0</v>
      </c>
      <c r="GB27" s="767">
        <f>[1]Субсидия_факт!ER24</f>
        <v>0</v>
      </c>
      <c r="GC27" s="1234">
        <f t="shared" si="56"/>
        <v>0</v>
      </c>
      <c r="GD27" s="766"/>
      <c r="GE27" s="767"/>
      <c r="GF27" s="801">
        <f t="shared" si="57"/>
        <v>0</v>
      </c>
      <c r="GG27" s="766">
        <f>[1]Субсидия_факт!JN24</f>
        <v>0</v>
      </c>
      <c r="GH27" s="767">
        <f>[1]Субсидия_факт!JP24</f>
        <v>0</v>
      </c>
      <c r="GI27" s="801">
        <f t="shared" si="58"/>
        <v>0</v>
      </c>
      <c r="GJ27" s="766"/>
      <c r="GK27" s="767"/>
      <c r="GL27" s="1235">
        <f t="shared" si="59"/>
        <v>0</v>
      </c>
      <c r="GM27" s="763">
        <f>[1]Субсидия_факт!JR24</f>
        <v>0</v>
      </c>
      <c r="GN27" s="764">
        <f>[1]Субсидия_факт!JV24</f>
        <v>0</v>
      </c>
      <c r="GO27" s="1235">
        <f t="shared" si="60"/>
        <v>0</v>
      </c>
      <c r="GP27" s="766"/>
      <c r="GQ27" s="793"/>
      <c r="GR27" s="1235">
        <f t="shared" si="213"/>
        <v>0</v>
      </c>
      <c r="GS27" s="783">
        <f t="shared" si="214"/>
        <v>0</v>
      </c>
      <c r="GT27" s="1252">
        <f t="shared" si="215"/>
        <v>0</v>
      </c>
      <c r="GU27" s="783">
        <f t="shared" si="216"/>
        <v>0</v>
      </c>
      <c r="GV27" s="1234">
        <f t="shared" si="61"/>
        <v>0</v>
      </c>
      <c r="GW27" s="766">
        <f>[1]Субсидия_факт!KL24</f>
        <v>0</v>
      </c>
      <c r="GX27" s="767">
        <f>[1]Субсидия_факт!KN24</f>
        <v>0</v>
      </c>
      <c r="GY27" s="766">
        <f>[1]Субсидия_факт!KP24</f>
        <v>0</v>
      </c>
      <c r="GZ27" s="801">
        <f t="shared" si="62"/>
        <v>0</v>
      </c>
      <c r="HA27" s="766"/>
      <c r="HB27" s="767"/>
      <c r="HC27" s="770"/>
      <c r="HD27" s="1235">
        <f t="shared" si="217"/>
        <v>0</v>
      </c>
      <c r="HE27" s="766">
        <f>[1]Субсидия_факт!KR24</f>
        <v>0</v>
      </c>
      <c r="HF27" s="1235">
        <f t="shared" si="217"/>
        <v>0</v>
      </c>
      <c r="HG27" s="770"/>
      <c r="HH27" s="1235">
        <f t="shared" si="218"/>
        <v>0</v>
      </c>
      <c r="HI27" s="1235">
        <f t="shared" si="219"/>
        <v>0</v>
      </c>
      <c r="HJ27" s="1235">
        <f t="shared" si="220"/>
        <v>0</v>
      </c>
      <c r="HK27" s="1235">
        <f t="shared" si="221"/>
        <v>0</v>
      </c>
      <c r="HL27" s="801">
        <f t="shared" si="63"/>
        <v>0</v>
      </c>
      <c r="HM27" s="766">
        <f>[1]Субсидия_факт!KV24</f>
        <v>0</v>
      </c>
      <c r="HN27" s="767">
        <f>[1]Субсидия_факт!KX24</f>
        <v>0</v>
      </c>
      <c r="HO27" s="957">
        <f t="shared" si="64"/>
        <v>0</v>
      </c>
      <c r="HP27" s="766"/>
      <c r="HQ27" s="767"/>
      <c r="HR27" s="801">
        <f t="shared" si="65"/>
        <v>0</v>
      </c>
      <c r="HS27" s="766"/>
      <c r="HT27" s="767"/>
      <c r="HU27" s="957">
        <f t="shared" si="66"/>
        <v>0</v>
      </c>
      <c r="HV27" s="766"/>
      <c r="HW27" s="767"/>
      <c r="HX27" s="801">
        <f t="shared" si="67"/>
        <v>0</v>
      </c>
      <c r="HY27" s="766">
        <f>[1]Субсидия_факт!FV24</f>
        <v>0</v>
      </c>
      <c r="HZ27" s="767">
        <f>[1]Субсидия_факт!FZ24</f>
        <v>0</v>
      </c>
      <c r="IA27" s="957">
        <f t="shared" si="68"/>
        <v>0</v>
      </c>
      <c r="IB27" s="766"/>
      <c r="IC27" s="767"/>
      <c r="ID27" s="1233">
        <f t="shared" si="69"/>
        <v>0</v>
      </c>
      <c r="IE27" s="763">
        <f t="shared" si="70"/>
        <v>0</v>
      </c>
      <c r="IF27" s="762">
        <f t="shared" si="70"/>
        <v>0</v>
      </c>
      <c r="IG27" s="782">
        <f t="shared" si="71"/>
        <v>0</v>
      </c>
      <c r="IH27" s="763">
        <f t="shared" si="72"/>
        <v>0</v>
      </c>
      <c r="II27" s="762">
        <f t="shared" si="72"/>
        <v>0</v>
      </c>
      <c r="IJ27" s="1233">
        <f t="shared" si="73"/>
        <v>0</v>
      </c>
      <c r="IK27" s="763">
        <f>[1]Субсидия_факт!FX24</f>
        <v>0</v>
      </c>
      <c r="IL27" s="762">
        <f>[1]Субсидия_факт!GB24</f>
        <v>0</v>
      </c>
      <c r="IM27" s="782">
        <f t="shared" si="74"/>
        <v>0</v>
      </c>
      <c r="IN27" s="763">
        <f t="shared" si="188"/>
        <v>0</v>
      </c>
      <c r="IO27" s="764">
        <f t="shared" si="189"/>
        <v>0</v>
      </c>
      <c r="IP27" s="801">
        <f t="shared" si="75"/>
        <v>0</v>
      </c>
      <c r="IQ27" s="763">
        <f>[1]Субсидия_факт!ED24</f>
        <v>0</v>
      </c>
      <c r="IR27" s="764">
        <f>[1]Субсидия_факт!EF24</f>
        <v>0</v>
      </c>
      <c r="IS27" s="957">
        <f t="shared" si="76"/>
        <v>0</v>
      </c>
      <c r="IT27" s="766"/>
      <c r="IU27" s="767"/>
      <c r="IV27" s="1259">
        <f t="shared" si="77"/>
        <v>0</v>
      </c>
      <c r="IW27" s="763">
        <f>[1]Субсидия_факт!EH24</f>
        <v>0</v>
      </c>
      <c r="IX27" s="764">
        <f>[1]Субсидия_факт!EL24</f>
        <v>0</v>
      </c>
      <c r="IY27" s="1254">
        <f t="shared" si="78"/>
        <v>0</v>
      </c>
      <c r="IZ27" s="766"/>
      <c r="JA27" s="793"/>
      <c r="JB27" s="1235">
        <f t="shared" si="222"/>
        <v>0</v>
      </c>
      <c r="JC27" s="1235">
        <f t="shared" si="223"/>
        <v>0</v>
      </c>
      <c r="JD27" s="1235">
        <f t="shared" si="224"/>
        <v>0</v>
      </c>
      <c r="JE27" s="783">
        <f t="shared" si="225"/>
        <v>0</v>
      </c>
      <c r="JF27" s="1234">
        <f t="shared" si="79"/>
        <v>0</v>
      </c>
      <c r="JG27" s="763">
        <f>[1]Субсидия_факт!BX24</f>
        <v>0</v>
      </c>
      <c r="JH27" s="764">
        <f>[1]Субсидия_факт!BZ24</f>
        <v>0</v>
      </c>
      <c r="JI27" s="957">
        <f t="shared" si="80"/>
        <v>0</v>
      </c>
      <c r="JJ27" s="766"/>
      <c r="JK27" s="767"/>
      <c r="JL27" s="801">
        <f t="shared" si="81"/>
        <v>0</v>
      </c>
      <c r="JM27" s="766">
        <f>[1]Субсидия_факт!ET24</f>
        <v>0</v>
      </c>
      <c r="JN27" s="767">
        <f>[1]Субсидия_факт!EV24</f>
        <v>0</v>
      </c>
      <c r="JO27" s="957">
        <f t="shared" si="82"/>
        <v>0</v>
      </c>
      <c r="JP27" s="766"/>
      <c r="JQ27" s="767"/>
      <c r="JR27" s="910">
        <f t="shared" si="83"/>
        <v>0</v>
      </c>
      <c r="JS27" s="763">
        <f>[1]Субсидия_факт!EX24</f>
        <v>0</v>
      </c>
      <c r="JT27" s="762">
        <f>[1]Субсидия_факт!FD24</f>
        <v>0</v>
      </c>
      <c r="JU27" s="910">
        <f t="shared" si="84"/>
        <v>0</v>
      </c>
      <c r="JV27" s="763"/>
      <c r="JW27" s="764"/>
      <c r="JX27" s="910">
        <f t="shared" si="85"/>
        <v>0</v>
      </c>
      <c r="JY27" s="763">
        <f>[1]Субсидия_факт!EZ24</f>
        <v>0</v>
      </c>
      <c r="JZ27" s="764">
        <f>[1]Субсидия_факт!FF24</f>
        <v>0</v>
      </c>
      <c r="KA27" s="910">
        <f t="shared" si="86"/>
        <v>0</v>
      </c>
      <c r="KB27" s="754"/>
      <c r="KC27" s="768"/>
      <c r="KD27" s="782">
        <f t="shared" si="87"/>
        <v>-204047.43</v>
      </c>
      <c r="KE27" s="755">
        <f>'Проверочная  таблица'!JY27-'Проверочная  таблица'!KK27</f>
        <v>-53052.329999999987</v>
      </c>
      <c r="KF27" s="764">
        <f>'Проверочная  таблица'!JZ27-'Проверочная  таблица'!KL27</f>
        <v>-150995.1</v>
      </c>
      <c r="KG27" s="1225">
        <f t="shared" si="88"/>
        <v>0</v>
      </c>
      <c r="KH27" s="754">
        <f>'Проверочная  таблица'!KB27-'Проверочная  таблица'!KN27</f>
        <v>0</v>
      </c>
      <c r="KI27" s="771">
        <f>'Проверочная  таблица'!KC27-'Проверочная  таблица'!KO27</f>
        <v>0</v>
      </c>
      <c r="KJ27" s="782">
        <f t="shared" si="89"/>
        <v>204047.43</v>
      </c>
      <c r="KK27" s="763">
        <f>[1]Субсидия_факт!FB24</f>
        <v>53052.329999999987</v>
      </c>
      <c r="KL27" s="762">
        <f>[1]Субсидия_факт!FH24</f>
        <v>150995.1</v>
      </c>
      <c r="KM27" s="782">
        <f t="shared" ref="KM27:KM30" si="251">SUM(KN27:KO27)</f>
        <v>0</v>
      </c>
      <c r="KN27" s="763"/>
      <c r="KO27" s="764"/>
      <c r="KP27" s="1217">
        <f t="shared" si="226"/>
        <v>460205.67000000004</v>
      </c>
      <c r="KQ27" s="754">
        <f>[1]Субсидия_факт!OD24</f>
        <v>105320</v>
      </c>
      <c r="KR27" s="764">
        <f>[1]Субсидия_факт!OJ24</f>
        <v>211295.67</v>
      </c>
      <c r="KS27" s="754">
        <f>[1]Субсидия_факт!OR24</f>
        <v>52201.81</v>
      </c>
      <c r="KT27" s="764">
        <f>[1]Субсидия_факт!OT24</f>
        <v>91388.19</v>
      </c>
      <c r="KU27" s="1217">
        <f t="shared" si="91"/>
        <v>0</v>
      </c>
      <c r="KV27" s="754"/>
      <c r="KW27" s="764"/>
      <c r="KX27" s="754"/>
      <c r="KY27" s="764"/>
      <c r="KZ27" s="1217">
        <f t="shared" si="227"/>
        <v>51600</v>
      </c>
      <c r="LA27" s="789">
        <f>[1]Субсидия_факт!OF24</f>
        <v>51600</v>
      </c>
      <c r="LB27" s="767">
        <f>[1]Субсидия_факт!OL24</f>
        <v>0</v>
      </c>
      <c r="LC27" s="789"/>
      <c r="LD27" s="767"/>
      <c r="LE27" s="1217">
        <f t="shared" si="92"/>
        <v>0</v>
      </c>
      <c r="LF27" s="754"/>
      <c r="LG27" s="764"/>
      <c r="LH27" s="754"/>
      <c r="LI27" s="764"/>
      <c r="LJ27" s="1219">
        <f t="shared" si="93"/>
        <v>-40390</v>
      </c>
      <c r="LK27" s="789">
        <f t="shared" si="94"/>
        <v>-40390</v>
      </c>
      <c r="LL27" s="767">
        <f t="shared" si="94"/>
        <v>0</v>
      </c>
      <c r="LM27" s="1219">
        <f t="shared" si="95"/>
        <v>0</v>
      </c>
      <c r="LN27" s="789">
        <f t="shared" si="96"/>
        <v>0</v>
      </c>
      <c r="LO27" s="767">
        <f t="shared" si="96"/>
        <v>0</v>
      </c>
      <c r="LP27" s="1219">
        <f t="shared" si="97"/>
        <v>91990</v>
      </c>
      <c r="LQ27" s="763">
        <f>[1]Субсидия_факт!OH24</f>
        <v>91990</v>
      </c>
      <c r="LR27" s="762">
        <f>[1]Субсидия_факт!ON24</f>
        <v>0</v>
      </c>
      <c r="LS27" s="1219">
        <f t="shared" si="98"/>
        <v>0</v>
      </c>
      <c r="LT27" s="755"/>
      <c r="LU27" s="764"/>
      <c r="LV27" s="957">
        <f t="shared" si="228"/>
        <v>0</v>
      </c>
      <c r="LW27" s="769">
        <f>[1]Субсидия_факт!DP24</f>
        <v>0</v>
      </c>
      <c r="LX27" s="754">
        <f>[1]Субсидия_факт!CB24</f>
        <v>0</v>
      </c>
      <c r="LY27" s="764">
        <f>[1]Субсидия_факт!CH24</f>
        <v>0</v>
      </c>
      <c r="LZ27" s="957">
        <f t="shared" si="99"/>
        <v>0</v>
      </c>
      <c r="MA27" s="769"/>
      <c r="MB27" s="754"/>
      <c r="MC27" s="764"/>
      <c r="MD27" s="957">
        <f t="shared" si="229"/>
        <v>0</v>
      </c>
      <c r="ME27" s="769">
        <f>[1]Субсидия_факт!DR24</f>
        <v>0</v>
      </c>
      <c r="MF27" s="754">
        <f>[1]Субсидия_факт!CD24</f>
        <v>0</v>
      </c>
      <c r="MG27" s="764">
        <f>[1]Субсидия_факт!CJ24</f>
        <v>0</v>
      </c>
      <c r="MH27" s="957">
        <f t="shared" si="100"/>
        <v>0</v>
      </c>
      <c r="MI27" s="769"/>
      <c r="MJ27" s="754"/>
      <c r="MK27" s="762"/>
      <c r="ML27" s="783">
        <f t="shared" si="101"/>
        <v>0</v>
      </c>
      <c r="MM27" s="766">
        <f>'Проверочная  таблица'!ME27-MU27</f>
        <v>0</v>
      </c>
      <c r="MN27" s="766">
        <f>'Проверочная  таблица'!MF27-MV27</f>
        <v>0</v>
      </c>
      <c r="MO27" s="767">
        <f>'Проверочная  таблица'!MG27-MW27</f>
        <v>0</v>
      </c>
      <c r="MP27" s="783">
        <f t="shared" si="102"/>
        <v>0</v>
      </c>
      <c r="MQ27" s="766">
        <f>'Проверочная  таблица'!MI27-MY27</f>
        <v>0</v>
      </c>
      <c r="MR27" s="766">
        <f>'Проверочная  таблица'!MJ27-MZ27</f>
        <v>0</v>
      </c>
      <c r="MS27" s="767">
        <f>'Проверочная  таблица'!MK27-NA27</f>
        <v>0</v>
      </c>
      <c r="MT27" s="783">
        <f t="shared" si="103"/>
        <v>0</v>
      </c>
      <c r="MU27" s="754">
        <f>[1]Субсидия_факт!DT24</f>
        <v>0</v>
      </c>
      <c r="MV27" s="754">
        <f>[1]Субсидия_факт!CF24</f>
        <v>0</v>
      </c>
      <c r="MW27" s="764">
        <f>[1]Субсидия_факт!CL24</f>
        <v>0</v>
      </c>
      <c r="MX27" s="783">
        <f t="shared" si="104"/>
        <v>0</v>
      </c>
      <c r="MY27" s="754"/>
      <c r="MZ27" s="754"/>
      <c r="NA27" s="764"/>
      <c r="NB27" s="1224">
        <f t="shared" si="230"/>
        <v>204047.43</v>
      </c>
      <c r="NC27" s="754">
        <f>[1]Субсидия_факт!CN24</f>
        <v>0</v>
      </c>
      <c r="ND27" s="762">
        <f>[1]Субсидия_факт!CP24</f>
        <v>0</v>
      </c>
      <c r="NE27" s="766">
        <f>[1]Субсидия_факт!CR24</f>
        <v>0</v>
      </c>
      <c r="NF27" s="767">
        <f>[1]Субсидия_факт!CT24</f>
        <v>0</v>
      </c>
      <c r="NG27" s="755">
        <f>[1]Субсидия_факт!DV24</f>
        <v>0</v>
      </c>
      <c r="NH27" s="763">
        <f>[1]Субсидия_факт!FJ24</f>
        <v>53052.329999999987</v>
      </c>
      <c r="NI27" s="762">
        <f>[1]Субсидия_факт!FP24</f>
        <v>150995.1</v>
      </c>
      <c r="NJ27" s="910">
        <f t="shared" si="105"/>
        <v>204047.43</v>
      </c>
      <c r="NK27" s="754"/>
      <c r="NL27" s="764"/>
      <c r="NM27" s="770"/>
      <c r="NN27" s="794"/>
      <c r="NO27" s="754"/>
      <c r="NP27" s="754">
        <f>NH27</f>
        <v>53052.329999999987</v>
      </c>
      <c r="NQ27" s="764">
        <f t="shared" si="249"/>
        <v>150995.1</v>
      </c>
      <c r="NR27" s="910">
        <f t="shared" si="231"/>
        <v>0</v>
      </c>
      <c r="NS27" s="763">
        <f>[1]Субсидия_факт!FL24</f>
        <v>0</v>
      </c>
      <c r="NT27" s="762">
        <f>[1]Субсидия_факт!FR24</f>
        <v>0</v>
      </c>
      <c r="NU27" s="910">
        <f t="shared" si="106"/>
        <v>0</v>
      </c>
      <c r="NV27" s="755"/>
      <c r="NW27" s="764"/>
      <c r="NX27" s="782">
        <f t="shared" si="107"/>
        <v>0</v>
      </c>
      <c r="NY27" s="763">
        <f>'Проверочная  таблица'!NS27-OE27</f>
        <v>0</v>
      </c>
      <c r="NZ27" s="764">
        <f>'Проверочная  таблица'!NT27-OF27</f>
        <v>0</v>
      </c>
      <c r="OA27" s="782">
        <f t="shared" si="108"/>
        <v>0</v>
      </c>
      <c r="OB27" s="754">
        <f>'Проверочная  таблица'!NV27-OH27</f>
        <v>0</v>
      </c>
      <c r="OC27" s="771">
        <f>'Проверочная  таблица'!NW27-OI27</f>
        <v>0</v>
      </c>
      <c r="OD27" s="782">
        <f t="shared" si="232"/>
        <v>0</v>
      </c>
      <c r="OE27" s="763">
        <f>[1]Субсидия_факт!FN24</f>
        <v>0</v>
      </c>
      <c r="OF27" s="762">
        <f>[1]Субсидия_факт!FT24</f>
        <v>0</v>
      </c>
      <c r="OG27" s="782">
        <f t="shared" ref="OG27:OG30" si="252">SUM(OH27:OI27)</f>
        <v>0</v>
      </c>
      <c r="OH27" s="754"/>
      <c r="OI27" s="764"/>
      <c r="OJ27" s="919">
        <f t="shared" si="233"/>
        <v>0</v>
      </c>
      <c r="OK27" s="763">
        <f>[1]Субсидия_факт!AR24</f>
        <v>0</v>
      </c>
      <c r="OL27" s="762">
        <f>[1]Субсидия_факт!AT24</f>
        <v>0</v>
      </c>
      <c r="OM27" s="763">
        <f>[1]Субсидия_факт!AV24</f>
        <v>0</v>
      </c>
      <c r="ON27" s="957">
        <f t="shared" si="110"/>
        <v>0</v>
      </c>
      <c r="OO27" s="770"/>
      <c r="OP27" s="767"/>
      <c r="OQ27" s="770"/>
      <c r="OR27" s="1238">
        <f t="shared" si="111"/>
        <v>5000000</v>
      </c>
      <c r="OS27" s="763">
        <f>[1]Субсидия_факт!GD24</f>
        <v>0</v>
      </c>
      <c r="OT27" s="762">
        <f>[1]Субсидия_факт!GJ24</f>
        <v>5000000</v>
      </c>
      <c r="OU27" s="770">
        <f>[1]Субсидия_факт!GP24</f>
        <v>0</v>
      </c>
      <c r="OV27" s="1238">
        <f t="shared" si="112"/>
        <v>0</v>
      </c>
      <c r="OW27" s="755"/>
      <c r="OX27" s="764"/>
      <c r="OY27" s="754"/>
      <c r="OZ27" s="1217">
        <f t="shared" si="234"/>
        <v>5000000</v>
      </c>
      <c r="PA27" s="763">
        <f>[1]Субсидия_факт!GF24</f>
        <v>0</v>
      </c>
      <c r="PB27" s="762">
        <f>[1]Субсидия_факт!GL24</f>
        <v>0</v>
      </c>
      <c r="PC27" s="754">
        <f>[1]Субсидия_факт!GR24</f>
        <v>5000000</v>
      </c>
      <c r="PD27" s="1217">
        <f t="shared" si="113"/>
        <v>0</v>
      </c>
      <c r="PE27" s="754"/>
      <c r="PF27" s="771"/>
      <c r="PG27" s="754">
        <v>0</v>
      </c>
      <c r="PH27" s="1219">
        <f t="shared" si="114"/>
        <v>5000000</v>
      </c>
      <c r="PI27" s="789">
        <f>'Проверочная  таблица'!PA27-PQ27</f>
        <v>0</v>
      </c>
      <c r="PJ27" s="767">
        <f>'Проверочная  таблица'!PB27-PR27</f>
        <v>0</v>
      </c>
      <c r="PK27" s="770">
        <f>'Проверочная  таблица'!PC27-PS27</f>
        <v>5000000</v>
      </c>
      <c r="PL27" s="1219">
        <f t="shared" si="235"/>
        <v>0</v>
      </c>
      <c r="PM27" s="755">
        <f>'Проверочная  таблица'!PE27-PU27</f>
        <v>0</v>
      </c>
      <c r="PN27" s="764">
        <f>'Проверочная  таблица'!PF27-PV27</f>
        <v>0</v>
      </c>
      <c r="PO27" s="754">
        <f>'Проверочная  таблица'!PG27-PW27</f>
        <v>0</v>
      </c>
      <c r="PP27" s="1219">
        <f t="shared" si="115"/>
        <v>0</v>
      </c>
      <c r="PQ27" s="763">
        <f>[1]Субсидия_факт!GH24</f>
        <v>0</v>
      </c>
      <c r="PR27" s="762">
        <f>[1]Субсидия_факт!GN24</f>
        <v>0</v>
      </c>
      <c r="PS27" s="763">
        <f>[1]Субсидия_факт!GT24</f>
        <v>0</v>
      </c>
      <c r="PT27" s="1219">
        <f t="shared" si="116"/>
        <v>0</v>
      </c>
      <c r="PU27" s="755">
        <f t="shared" si="193"/>
        <v>0</v>
      </c>
      <c r="PV27" s="764">
        <f t="shared" si="194"/>
        <v>0</v>
      </c>
      <c r="PW27" s="763"/>
      <c r="PX27" s="910">
        <f t="shared" si="195"/>
        <v>0</v>
      </c>
      <c r="PY27" s="766">
        <f>[1]Субсидия_факт!JB24</f>
        <v>0</v>
      </c>
      <c r="PZ27" s="767">
        <f>[1]Субсидия_факт!JH24</f>
        <v>0</v>
      </c>
      <c r="QA27" s="766"/>
      <c r="QB27" s="767"/>
      <c r="QC27" s="910">
        <f t="shared" si="196"/>
        <v>0</v>
      </c>
      <c r="QD27" s="770"/>
      <c r="QE27" s="794"/>
      <c r="QF27" s="770"/>
      <c r="QG27" s="794"/>
      <c r="QH27" s="957">
        <f t="shared" si="117"/>
        <v>0</v>
      </c>
      <c r="QI27" s="766">
        <f>[1]Субсидия_факт!JD24</f>
        <v>0</v>
      </c>
      <c r="QJ27" s="767">
        <f>[1]Субсидия_факт!JJ24</f>
        <v>0</v>
      </c>
      <c r="QK27" s="1253">
        <f t="shared" si="118"/>
        <v>0</v>
      </c>
      <c r="QL27" s="770"/>
      <c r="QM27" s="794"/>
      <c r="QN27" s="783">
        <f t="shared" si="236"/>
        <v>0</v>
      </c>
      <c r="QO27" s="770">
        <f t="shared" si="119"/>
        <v>0</v>
      </c>
      <c r="QP27" s="767">
        <f t="shared" si="119"/>
        <v>0</v>
      </c>
      <c r="QQ27" s="1235">
        <f t="shared" si="120"/>
        <v>0</v>
      </c>
      <c r="QR27" s="766">
        <f t="shared" si="121"/>
        <v>0</v>
      </c>
      <c r="QS27" s="767">
        <f t="shared" si="121"/>
        <v>0</v>
      </c>
      <c r="QT27" s="1235">
        <f t="shared" si="122"/>
        <v>0</v>
      </c>
      <c r="QU27" s="766">
        <f>[1]Субсидия_факт!JF24</f>
        <v>0</v>
      </c>
      <c r="QV27" s="767">
        <f>[1]Субсидия_факт!JL24</f>
        <v>0</v>
      </c>
      <c r="QW27" s="783">
        <f t="shared" si="237"/>
        <v>0</v>
      </c>
      <c r="QX27" s="770"/>
      <c r="QY27" s="794"/>
      <c r="QZ27" s="801">
        <f t="shared" si="123"/>
        <v>0</v>
      </c>
      <c r="RA27" s="766">
        <f>[1]Субсидия_факт!CV24</f>
        <v>0</v>
      </c>
      <c r="RB27" s="767">
        <f>[1]Субсидия_факт!CX24</f>
        <v>0</v>
      </c>
      <c r="RC27" s="957">
        <f t="shared" si="124"/>
        <v>0</v>
      </c>
      <c r="RD27" s="766"/>
      <c r="RE27" s="767"/>
      <c r="RF27" s="801">
        <f t="shared" si="125"/>
        <v>0</v>
      </c>
      <c r="RG27" s="766">
        <f>[1]Субсидия_факт!CZ24</f>
        <v>0</v>
      </c>
      <c r="RH27" s="767">
        <f>[1]Субсидия_факт!DF24</f>
        <v>0</v>
      </c>
      <c r="RI27" s="957">
        <f t="shared" si="126"/>
        <v>0</v>
      </c>
      <c r="RJ27" s="766"/>
      <c r="RK27" s="767"/>
      <c r="RL27" s="801">
        <f t="shared" si="127"/>
        <v>0</v>
      </c>
      <c r="RM27" s="766">
        <f>[1]Субсидия_факт!DB24</f>
        <v>0</v>
      </c>
      <c r="RN27" s="767">
        <f>[1]Субсидия_факт!DH24</f>
        <v>0</v>
      </c>
      <c r="RO27" s="957">
        <f t="shared" si="128"/>
        <v>0</v>
      </c>
      <c r="RP27" s="766"/>
      <c r="RQ27" s="767"/>
      <c r="RR27" s="1235">
        <f t="shared" si="129"/>
        <v>0</v>
      </c>
      <c r="RS27" s="766">
        <f t="shared" si="130"/>
        <v>0</v>
      </c>
      <c r="RT27" s="767">
        <f t="shared" si="130"/>
        <v>0</v>
      </c>
      <c r="RU27" s="783">
        <f t="shared" si="131"/>
        <v>0</v>
      </c>
      <c r="RV27" s="766">
        <f t="shared" si="132"/>
        <v>0</v>
      </c>
      <c r="RW27" s="767">
        <f t="shared" si="132"/>
        <v>0</v>
      </c>
      <c r="RX27" s="1235">
        <f t="shared" si="133"/>
        <v>0</v>
      </c>
      <c r="RY27" s="766">
        <f>[1]Субсидия_факт!DD24</f>
        <v>0</v>
      </c>
      <c r="RZ27" s="767">
        <f>[1]Субсидия_факт!DJ24</f>
        <v>0</v>
      </c>
      <c r="SA27" s="783">
        <f t="shared" si="134"/>
        <v>0</v>
      </c>
      <c r="SB27" s="766"/>
      <c r="SC27" s="767"/>
      <c r="SD27" s="801">
        <f t="shared" si="135"/>
        <v>0</v>
      </c>
      <c r="SE27" s="766">
        <f>[1]Субсидия_факт!DL24</f>
        <v>0</v>
      </c>
      <c r="SF27" s="767">
        <f>[1]Субсидия_факт!DN24</f>
        <v>0</v>
      </c>
      <c r="SG27" s="1253">
        <f t="shared" si="136"/>
        <v>0</v>
      </c>
      <c r="SH27" s="789"/>
      <c r="SI27" s="793"/>
      <c r="SJ27" s="957">
        <f t="shared" si="238"/>
        <v>0</v>
      </c>
      <c r="SK27" s="763">
        <f>[1]Субсидия_факт!BJ24</f>
        <v>0</v>
      </c>
      <c r="SL27" s="766">
        <f>[1]Субсидия_факт!BF24</f>
        <v>0</v>
      </c>
      <c r="SM27" s="793">
        <f>[1]Субсидия_факт!BH24</f>
        <v>0</v>
      </c>
      <c r="SN27" s="957">
        <f t="shared" si="137"/>
        <v>0</v>
      </c>
      <c r="SO27" s="795"/>
      <c r="SP27" s="789"/>
      <c r="SQ27" s="793"/>
      <c r="SR27" s="801">
        <f t="shared" si="138"/>
        <v>0</v>
      </c>
      <c r="SS27" s="766">
        <f>[1]Субсидия_факт!AD24</f>
        <v>0</v>
      </c>
      <c r="ST27" s="767">
        <f>[1]Субсидия_факт!AF24</f>
        <v>0</v>
      </c>
      <c r="SU27" s="957">
        <f t="shared" si="139"/>
        <v>0</v>
      </c>
      <c r="SV27" s="789"/>
      <c r="SW27" s="793"/>
      <c r="SX27" s="801">
        <f t="shared" si="239"/>
        <v>0</v>
      </c>
      <c r="SY27" s="766">
        <f>[1]Субсидия_факт!ID24</f>
        <v>0</v>
      </c>
      <c r="SZ27" s="767">
        <f>[1]Субсидия_факт!IJ24</f>
        <v>0</v>
      </c>
      <c r="TA27" s="789">
        <f>[1]Субсидия_факт!IP24</f>
        <v>0</v>
      </c>
      <c r="TB27" s="767">
        <f>[1]Субсидия_факт!IV24</f>
        <v>0</v>
      </c>
      <c r="TC27" s="1028">
        <f>[1]Субсидия_факт!JZ24</f>
        <v>0</v>
      </c>
      <c r="TD27" s="793">
        <f>[1]Субсидия_факт!KF24</f>
        <v>0</v>
      </c>
      <c r="TE27" s="957">
        <f t="shared" si="140"/>
        <v>0</v>
      </c>
      <c r="TF27" s="1162"/>
      <c r="TG27" s="794"/>
      <c r="TH27" s="1162"/>
      <c r="TI27" s="794"/>
      <c r="TJ27" s="1028"/>
      <c r="TK27" s="793"/>
      <c r="TL27" s="801">
        <f t="shared" si="141"/>
        <v>0</v>
      </c>
      <c r="TM27" s="766">
        <f>[1]Субсидия_факт!IF24</f>
        <v>0</v>
      </c>
      <c r="TN27" s="767">
        <f>[1]Субсидия_факт!IL24</f>
        <v>0</v>
      </c>
      <c r="TO27" s="789">
        <f>[1]Субсидия_факт!IR24</f>
        <v>0</v>
      </c>
      <c r="TP27" s="767">
        <f>[1]Субсидия_факт!IX24</f>
        <v>0</v>
      </c>
      <c r="TQ27" s="789">
        <f>[1]Субсидия_факт!KB24</f>
        <v>0</v>
      </c>
      <c r="TR27" s="767">
        <f>[1]Субсидия_факт!KH24</f>
        <v>0</v>
      </c>
      <c r="TS27" s="957">
        <f t="shared" si="142"/>
        <v>0</v>
      </c>
      <c r="TT27" s="770"/>
      <c r="TU27" s="794"/>
      <c r="TV27" s="1028"/>
      <c r="TW27" s="794"/>
      <c r="TX27" s="770"/>
      <c r="TY27" s="794"/>
      <c r="TZ27" s="783">
        <f t="shared" si="143"/>
        <v>0</v>
      </c>
      <c r="UA27" s="766">
        <f t="shared" si="144"/>
        <v>0</v>
      </c>
      <c r="UB27" s="767">
        <f t="shared" si="144"/>
        <v>0</v>
      </c>
      <c r="UC27" s="766">
        <f t="shared" si="144"/>
        <v>0</v>
      </c>
      <c r="UD27" s="767">
        <f t="shared" si="144"/>
        <v>0</v>
      </c>
      <c r="UE27" s="789">
        <f t="shared" si="144"/>
        <v>0</v>
      </c>
      <c r="UF27" s="767">
        <f t="shared" si="144"/>
        <v>0</v>
      </c>
      <c r="UG27" s="783">
        <f t="shared" si="145"/>
        <v>0</v>
      </c>
      <c r="UH27" s="766">
        <f t="shared" si="146"/>
        <v>0</v>
      </c>
      <c r="UI27" s="767">
        <f t="shared" si="146"/>
        <v>0</v>
      </c>
      <c r="UJ27" s="766">
        <f t="shared" si="146"/>
        <v>0</v>
      </c>
      <c r="UK27" s="767">
        <f t="shared" si="146"/>
        <v>0</v>
      </c>
      <c r="UL27" s="789">
        <f t="shared" si="146"/>
        <v>0</v>
      </c>
      <c r="UM27" s="767">
        <f t="shared" si="146"/>
        <v>0</v>
      </c>
      <c r="UN27" s="1235">
        <f t="shared" si="147"/>
        <v>0</v>
      </c>
      <c r="UO27" s="766">
        <f>[1]Субсидия_факт!IH24</f>
        <v>0</v>
      </c>
      <c r="UP27" s="767">
        <f>[1]Субсидия_факт!IN24</f>
        <v>0</v>
      </c>
      <c r="UQ27" s="789">
        <f>[1]Субсидия_факт!IT24</f>
        <v>0</v>
      </c>
      <c r="UR27" s="767">
        <f>[1]Субсидия_факт!IZ24</f>
        <v>0</v>
      </c>
      <c r="US27" s="789">
        <f>[1]Субсидия_факт!KD24</f>
        <v>0</v>
      </c>
      <c r="UT27" s="767">
        <f>[1]Субсидия_факт!KJ24</f>
        <v>0</v>
      </c>
      <c r="UU27" s="783">
        <f t="shared" si="148"/>
        <v>0</v>
      </c>
      <c r="UV27" s="1028"/>
      <c r="UW27" s="794"/>
      <c r="UX27" s="1028"/>
      <c r="UY27" s="794"/>
      <c r="UZ27" s="1028"/>
      <c r="VA27" s="794"/>
      <c r="VB27" s="957">
        <f>'Прочая  субсидия_МР  и  ГО'!B22</f>
        <v>62913609.370000005</v>
      </c>
      <c r="VC27" s="957">
        <f>'Прочая  субсидия_МР  и  ГО'!C22</f>
        <v>13843172.130000001</v>
      </c>
      <c r="VD27" s="1234">
        <f>'Прочая  субсидия_БП'!B22</f>
        <v>5113701.41</v>
      </c>
      <c r="VE27" s="801">
        <f>'Прочая  субсидия_БП'!C22</f>
        <v>92652.280000000013</v>
      </c>
      <c r="VF27" s="1267">
        <f>'Прочая  субсидия_БП'!D22</f>
        <v>4241007.12</v>
      </c>
      <c r="VG27" s="958">
        <f>'Прочая  субсидия_БП'!E22</f>
        <v>92652.280000000013</v>
      </c>
      <c r="VH27" s="1268">
        <f>'Прочая  субсидия_БП'!F22</f>
        <v>872694.2899999998</v>
      </c>
      <c r="VI27" s="1267">
        <f>'Прочая  субсидия_БП'!G22</f>
        <v>0</v>
      </c>
      <c r="VJ27" s="801">
        <f t="shared" si="149"/>
        <v>392264219.28999996</v>
      </c>
      <c r="VK27" s="770">
        <f>'Проверочная  таблица'!WM27+'Проверочная  таблица'!VP27+'Проверочная  таблица'!VR27+WG27</f>
        <v>382405334.75999993</v>
      </c>
      <c r="VL27" s="795">
        <f>'Проверочная  таблица'!WN27+'Проверочная  таблица'!VV27+'Проверочная  таблица'!WB27+'Проверочная  таблица'!VX27+'Проверочная  таблица'!VZ27+WD27+WH27+VT27</f>
        <v>9858884.5300000012</v>
      </c>
      <c r="VM27" s="957">
        <f t="shared" si="150"/>
        <v>252706332.04000002</v>
      </c>
      <c r="VN27" s="770">
        <f>'Проверочная  таблица'!WP27+'Проверочная  таблица'!VQ27+'Проверочная  таблица'!VS27+WJ27</f>
        <v>248006083.46000001</v>
      </c>
      <c r="VO27" s="795">
        <f>'Проверочная  таблица'!WQ27+'Проверочная  таблица'!VW27+'Проверочная  таблица'!WC27+'Проверочная  таблица'!VY27+'Проверочная  таблица'!WA27+WE27+WK27+VU27</f>
        <v>4700248.58</v>
      </c>
      <c r="VP27" s="1253">
        <f>'Субвенция  на  полномочия'!B22</f>
        <v>373650083.15999997</v>
      </c>
      <c r="VQ27" s="1234">
        <f>'Субвенция  на  полномочия'!C22</f>
        <v>243696022</v>
      </c>
      <c r="VR27" s="790">
        <f>[1]Субвенция_факт!M23*1000</f>
        <v>4924810</v>
      </c>
      <c r="VS27" s="796">
        <v>2443000</v>
      </c>
      <c r="VT27" s="790">
        <f>[1]Субвенция_факт!AE23*1000</f>
        <v>0</v>
      </c>
      <c r="VU27" s="796"/>
      <c r="VV27" s="790">
        <f>[1]Субвенция_факт!AF23*1000</f>
        <v>2118700</v>
      </c>
      <c r="VW27" s="796">
        <f>ВУС!E154</f>
        <v>945105.00999999989</v>
      </c>
      <c r="VX27" s="1256">
        <f>[1]Субвенция_факт!AG23*1000</f>
        <v>0</v>
      </c>
      <c r="VY27" s="797"/>
      <c r="VZ27" s="792">
        <f>[1]Субвенция_факт!E23*1000</f>
        <v>0</v>
      </c>
      <c r="WA27" s="797"/>
      <c r="WB27" s="792">
        <f>[1]Субвенция_факт!F23*1000</f>
        <v>0</v>
      </c>
      <c r="WC27" s="797"/>
      <c r="WD27" s="791">
        <f>[1]Субвенция_факт!G23*1000</f>
        <v>0</v>
      </c>
      <c r="WE27" s="796"/>
      <c r="WF27" s="801">
        <f t="shared" si="151"/>
        <v>9365114.2300000004</v>
      </c>
      <c r="WG27" s="766">
        <f>[1]Субвенция_факт!P23*1000</f>
        <v>2434929.7000000002</v>
      </c>
      <c r="WH27" s="767">
        <f>[1]Субвенция_факт!Q23*1000</f>
        <v>6930184.5300000003</v>
      </c>
      <c r="WI27" s="957">
        <f t="shared" si="152"/>
        <v>4527159.46</v>
      </c>
      <c r="WJ27" s="770">
        <v>1177061.46</v>
      </c>
      <c r="WK27" s="798">
        <v>3350098</v>
      </c>
      <c r="WL27" s="957">
        <f t="shared" si="153"/>
        <v>2205511.9</v>
      </c>
      <c r="WM27" s="799">
        <f>[1]Субвенция_факт!X23*1000</f>
        <v>1395511.9</v>
      </c>
      <c r="WN27" s="800">
        <f>[1]Субвенция_факт!W23*1000</f>
        <v>810000</v>
      </c>
      <c r="WO27" s="957">
        <f t="shared" si="154"/>
        <v>1095045.57</v>
      </c>
      <c r="WP27" s="770">
        <v>690000</v>
      </c>
      <c r="WQ27" s="798">
        <v>405045.57</v>
      </c>
      <c r="WR27" s="957">
        <f t="shared" si="240"/>
        <v>66894278.089999996</v>
      </c>
      <c r="WS27" s="957">
        <f t="shared" si="241"/>
        <v>34823149.330000006</v>
      </c>
      <c r="WT27" s="1253">
        <f t="shared" si="155"/>
        <v>0</v>
      </c>
      <c r="WU27" s="799">
        <f>'[1]Иные межбюджетные трансферты'!AM24</f>
        <v>0</v>
      </c>
      <c r="WV27" s="800">
        <f>'[1]Иные межбюджетные трансферты'!AO24</f>
        <v>0</v>
      </c>
      <c r="WW27" s="1253">
        <f t="shared" si="156"/>
        <v>0</v>
      </c>
      <c r="WX27" s="799"/>
      <c r="WY27" s="800"/>
      <c r="WZ27" s="957">
        <f t="shared" si="157"/>
        <v>1887333.97</v>
      </c>
      <c r="XA27" s="799">
        <f>'[1]Иные межбюджетные трансферты'!AI24</f>
        <v>94366.7</v>
      </c>
      <c r="XB27" s="800">
        <f>'[1]Иные межбюджетные трансферты'!AK24</f>
        <v>1792967.27</v>
      </c>
      <c r="XC27" s="957">
        <f t="shared" si="158"/>
        <v>943654.74</v>
      </c>
      <c r="XD27" s="799">
        <v>47182.74</v>
      </c>
      <c r="XE27" s="800">
        <v>896472</v>
      </c>
      <c r="XF27" s="957">
        <f t="shared" si="159"/>
        <v>12612591</v>
      </c>
      <c r="XG27" s="799">
        <f>'[1]Иные межбюджетные трансферты'!I24</f>
        <v>0</v>
      </c>
      <c r="XH27" s="800">
        <f>'[1]Иные межбюджетные трансферты'!K24</f>
        <v>12612591</v>
      </c>
      <c r="XI27" s="957">
        <f t="shared" si="242"/>
        <v>11608391.42</v>
      </c>
      <c r="XJ27" s="786"/>
      <c r="XK27" s="800">
        <v>11608391.42</v>
      </c>
      <c r="XL27" s="957">
        <f t="shared" si="161"/>
        <v>0</v>
      </c>
      <c r="XM27" s="789"/>
      <c r="XN27" s="957">
        <f t="shared" si="162"/>
        <v>0</v>
      </c>
      <c r="XO27" s="789"/>
      <c r="XP27" s="801">
        <f t="shared" si="163"/>
        <v>0</v>
      </c>
      <c r="XQ27" s="766">
        <f>'[1]Иные межбюджетные трансферты'!M24</f>
        <v>0</v>
      </c>
      <c r="XR27" s="957">
        <f t="shared" si="164"/>
        <v>0</v>
      </c>
      <c r="XS27" s="770"/>
      <c r="XT27" s="1252">
        <f t="shared" si="165"/>
        <v>0</v>
      </c>
      <c r="XU27" s="783">
        <f t="shared" si="166"/>
        <v>0</v>
      </c>
      <c r="XV27" s="1252">
        <f t="shared" si="167"/>
        <v>0</v>
      </c>
      <c r="XW27" s="783">
        <f t="shared" si="168"/>
        <v>0</v>
      </c>
      <c r="XX27" s="957">
        <f t="shared" si="243"/>
        <v>44704062.549999997</v>
      </c>
      <c r="XY27" s="787">
        <f>'[1]Иные межбюджетные трансферты'!E24</f>
        <v>0</v>
      </c>
      <c r="XZ27" s="799">
        <f>'[1]Иные межбюджетные трансферты'!G24</f>
        <v>21826031.32</v>
      </c>
      <c r="YA27" s="786">
        <f>'[1]Иные межбюджетные трансферты'!Q24</f>
        <v>0</v>
      </c>
      <c r="YB27" s="787">
        <f>'[1]Иные межбюджетные трансферты'!W24</f>
        <v>0</v>
      </c>
      <c r="YC27" s="786">
        <f>'[1]Иные межбюджетные трансферты'!Y24</f>
        <v>19937960</v>
      </c>
      <c r="YD27" s="1116">
        <f>'[1]Иные межбюджетные трансферты'!AE24</f>
        <v>0</v>
      </c>
      <c r="YE27" s="786">
        <f>'[1]Иные межбюджетные трансферты'!AQ24</f>
        <v>0</v>
      </c>
      <c r="YF27" s="766">
        <f>'[1]Иные межбюджетные трансферты'!AW24</f>
        <v>0</v>
      </c>
      <c r="YG27" s="786">
        <f>'[1]Иные межбюджетные трансферты'!AY24</f>
        <v>0</v>
      </c>
      <c r="YH27" s="1116">
        <f>'[1]Иные межбюджетные трансферты'!BA24</f>
        <v>2940071.23</v>
      </c>
      <c r="YI27" s="957">
        <f t="shared" si="244"/>
        <v>21465765.600000001</v>
      </c>
      <c r="YJ27" s="786"/>
      <c r="YK27" s="786"/>
      <c r="YL27" s="755"/>
      <c r="YM27" s="786"/>
      <c r="YN27" s="751">
        <f t="shared" si="245"/>
        <v>19937960</v>
      </c>
      <c r="YO27" s="751"/>
      <c r="YP27" s="751"/>
      <c r="YQ27" s="751"/>
      <c r="YR27" s="751"/>
      <c r="YS27" s="751">
        <v>1527805.6</v>
      </c>
      <c r="YT27" s="957">
        <f t="shared" si="169"/>
        <v>7690290.5700000003</v>
      </c>
      <c r="YU27" s="799">
        <f>'[1]Иные межбюджетные трансферты'!S24</f>
        <v>1438932.79</v>
      </c>
      <c r="YV27" s="786">
        <f>'[1]Иные межбюджетные трансферты'!AA24</f>
        <v>0</v>
      </c>
      <c r="YW27" s="1116">
        <f>'[1]Иные межбюджетные трансферты'!AG24</f>
        <v>0</v>
      </c>
      <c r="YX27" s="787">
        <f>'[1]Иные межбюджетные трансферты'!AS24</f>
        <v>2037837.3699999999</v>
      </c>
      <c r="YY27" s="751">
        <f>'[1]Иные межбюджетные трансферты'!BC24</f>
        <v>4213520.41</v>
      </c>
      <c r="YZ27" s="957">
        <f t="shared" si="170"/>
        <v>805337.57</v>
      </c>
      <c r="ZA27" s="769">
        <v>805337.57</v>
      </c>
      <c r="ZB27" s="769">
        <f t="shared" si="246"/>
        <v>0</v>
      </c>
      <c r="ZC27" s="769"/>
      <c r="ZD27" s="751"/>
      <c r="ZE27" s="751"/>
      <c r="ZF27" s="783">
        <f t="shared" si="171"/>
        <v>7690290.5700000003</v>
      </c>
      <c r="ZG27" s="763">
        <f>'Проверочная  таблица'!YU27-ZS27</f>
        <v>1438932.79</v>
      </c>
      <c r="ZH27" s="763">
        <f>'Проверочная  таблица'!YV27-ZT27</f>
        <v>0</v>
      </c>
      <c r="ZI27" s="763">
        <f>'Проверочная  таблица'!YW27-ZU27</f>
        <v>0</v>
      </c>
      <c r="ZJ27" s="763">
        <f>'Проверочная  таблица'!YX27-ZV27</f>
        <v>2037837.3699999999</v>
      </c>
      <c r="ZK27" s="763">
        <f>'Проверочная  таблица'!YY27-ZW27</f>
        <v>4213520.41</v>
      </c>
      <c r="ZL27" s="783">
        <f t="shared" si="172"/>
        <v>805337.57</v>
      </c>
      <c r="ZM27" s="763">
        <f>'Проверочная  таблица'!ZA27-ZY27</f>
        <v>805337.57</v>
      </c>
      <c r="ZN27" s="763">
        <f>'Проверочная  таблица'!ZB27-ZZ27</f>
        <v>0</v>
      </c>
      <c r="ZO27" s="763">
        <f>'Проверочная  таблица'!ZC27-AAA27</f>
        <v>0</v>
      </c>
      <c r="ZP27" s="763">
        <f>'Проверочная  таблица'!ZD27-AAB27</f>
        <v>0</v>
      </c>
      <c r="ZQ27" s="763">
        <f>'Проверочная  таблица'!ZE27-AAC27</f>
        <v>0</v>
      </c>
      <c r="ZR27" s="783">
        <f t="shared" si="173"/>
        <v>0</v>
      </c>
      <c r="ZS27" s="799">
        <f>'[1]Иные межбюджетные трансферты'!U24</f>
        <v>0</v>
      </c>
      <c r="ZT27" s="786">
        <f>'[1]Иные межбюджетные трансферты'!AC24</f>
        <v>0</v>
      </c>
      <c r="ZU27" s="787"/>
      <c r="ZV27" s="799">
        <f>'[1]Иные межбюджетные трансферты'!AU24</f>
        <v>0</v>
      </c>
      <c r="ZW27" s="751"/>
      <c r="ZX27" s="783">
        <f t="shared" si="174"/>
        <v>0</v>
      </c>
      <c r="ZY27" s="769"/>
      <c r="ZZ27" s="769">
        <f t="shared" si="247"/>
        <v>0</v>
      </c>
      <c r="AAA27" s="769"/>
      <c r="AAB27" s="751"/>
      <c r="AAC27" s="751"/>
      <c r="AAD27" s="957">
        <f>AAF27+'Проверочная  таблица'!AAN27+AAJ27+'Проверочная  таблица'!AAR27+AAL27+'Проверочная  таблица'!AAT27</f>
        <v>-250000</v>
      </c>
      <c r="AAE27" s="957">
        <f>AAG27+'Проверочная  таблица'!AAO27+AAK27+'Проверочная  таблица'!AAS27+AAM27+'Проверочная  таблица'!AAU27</f>
        <v>0</v>
      </c>
      <c r="AAF27" s="801"/>
      <c r="AAG27" s="801"/>
      <c r="AAH27" s="801"/>
      <c r="AAI27" s="801"/>
      <c r="AAJ27" s="1235">
        <f t="shared" si="175"/>
        <v>0</v>
      </c>
      <c r="AAK27" s="783">
        <f t="shared" si="175"/>
        <v>0</v>
      </c>
      <c r="AAL27" s="802"/>
      <c r="AAM27" s="783"/>
      <c r="AAN27" s="801"/>
      <c r="AAO27" s="801"/>
      <c r="AAP27" s="801">
        <v>-250000</v>
      </c>
      <c r="AAQ27" s="801"/>
      <c r="AAR27" s="1269">
        <f t="shared" si="176"/>
        <v>-250000</v>
      </c>
      <c r="AAS27" s="809">
        <f t="shared" si="176"/>
        <v>0</v>
      </c>
      <c r="AAT27" s="809"/>
      <c r="AAU27" s="809"/>
      <c r="AAV27" s="1246">
        <f>'Проверочная  таблица'!AAN27+'Проверочная  таблица'!AAP27</f>
        <v>-250000</v>
      </c>
      <c r="AAW27" s="1246">
        <f>'Проверочная  таблица'!AAO27+'Проверочная  таблица'!AAQ27</f>
        <v>0</v>
      </c>
    </row>
    <row r="28" spans="1:725" ht="24" customHeight="1" x14ac:dyDescent="0.25">
      <c r="A28" s="784" t="s">
        <v>1316</v>
      </c>
      <c r="B28" s="801">
        <f>D28+AN28+'Проверочная  таблица'!VJ28+'Проверочная  таблица'!WR28</f>
        <v>1518529959.4399998</v>
      </c>
      <c r="C28" s="957">
        <f>E28+'Проверочная  таблица'!VM28+AO28+'Проверочная  таблица'!WS28</f>
        <v>755893181.32000005</v>
      </c>
      <c r="D28" s="1234">
        <f t="shared" si="0"/>
        <v>274764215.65999997</v>
      </c>
      <c r="E28" s="801">
        <f t="shared" si="1"/>
        <v>129889335.82000001</v>
      </c>
      <c r="F28" s="1238">
        <f>'[1]Дотация  из  ОБ_факт'!M23</f>
        <v>50595882</v>
      </c>
      <c r="G28" s="1247">
        <v>25297944</v>
      </c>
      <c r="H28" s="1238">
        <f>'[1]Дотация  из  ОБ_факт'!G23</f>
        <v>134112877.66</v>
      </c>
      <c r="I28" s="1247">
        <v>68828862.510000005</v>
      </c>
      <c r="J28" s="1248">
        <f t="shared" si="2"/>
        <v>84146122.159999996</v>
      </c>
      <c r="K28" s="1249">
        <f t="shared" si="2"/>
        <v>43845486.510000005</v>
      </c>
      <c r="L28" s="1248">
        <f>'[1]Дотация  из  ОБ_факт'!K23</f>
        <v>49966755.5</v>
      </c>
      <c r="M28" s="785">
        <v>24983376</v>
      </c>
      <c r="N28" s="1238">
        <f>'[1]Дотация  из  ОБ_факт'!Q23</f>
        <v>46163000</v>
      </c>
      <c r="O28" s="1247">
        <v>12163000</v>
      </c>
      <c r="P28" s="1238">
        <f>'[1]Дотация  из  ОБ_факт'!S23</f>
        <v>43741581.000000007</v>
      </c>
      <c r="Q28" s="1247">
        <v>23599529.309999999</v>
      </c>
      <c r="R28" s="1248">
        <f t="shared" si="3"/>
        <v>38033158.000000007</v>
      </c>
      <c r="S28" s="1249">
        <f t="shared" si="3"/>
        <v>20745317.309999999</v>
      </c>
      <c r="T28" s="1248">
        <f>'[1]Дотация  из  ОБ_факт'!W23</f>
        <v>5708423</v>
      </c>
      <c r="U28" s="785">
        <v>2854212</v>
      </c>
      <c r="V28" s="790">
        <f t="shared" si="4"/>
        <v>0</v>
      </c>
      <c r="W28" s="1250">
        <f>'[1]Дотация  из  ОБ_факт'!AA23</f>
        <v>0</v>
      </c>
      <c r="X28" s="1251">
        <f>'[1]Дотация  из  ОБ_факт'!AC23</f>
        <v>0</v>
      </c>
      <c r="Y28" s="1251">
        <f>'[1]Дотация  из  ОБ_факт'!AG23</f>
        <v>0</v>
      </c>
      <c r="Z28" s="791">
        <f t="shared" si="5"/>
        <v>0</v>
      </c>
      <c r="AA28" s="751">
        <f t="shared" si="180"/>
        <v>0</v>
      </c>
      <c r="AB28" s="751">
        <f t="shared" si="180"/>
        <v>0</v>
      </c>
      <c r="AC28" s="786"/>
      <c r="AD28" s="790">
        <f t="shared" si="6"/>
        <v>150875</v>
      </c>
      <c r="AE28" s="1250">
        <f>'[1]Дотация  из  ОБ_факт'!Y23</f>
        <v>150875</v>
      </c>
      <c r="AF28" s="1251">
        <f>'[1]Дотация  из  ОБ_факт'!AE23</f>
        <v>0</v>
      </c>
      <c r="AG28" s="790">
        <f t="shared" si="7"/>
        <v>0</v>
      </c>
      <c r="AH28" s="787"/>
      <c r="AI28" s="786"/>
      <c r="AJ28" s="1248">
        <f t="shared" si="8"/>
        <v>150875</v>
      </c>
      <c r="AK28" s="1249">
        <f t="shared" si="9"/>
        <v>0</v>
      </c>
      <c r="AL28" s="1248">
        <f>'[1]Дотация  из  ОБ_факт'!AE23</f>
        <v>0</v>
      </c>
      <c r="AM28" s="788"/>
      <c r="AN28" s="919">
        <f>'Проверочная  таблица'!VB28+'Проверочная  таблица'!VD28+BT28+BV28+CH28+CJ28+BH28+BL28+'Проверочная  таблица'!NB28+'Проверочная  таблица'!NR28+'Проверочная  таблица'!EB28+'Проверочная  таблица'!OJ28+DT28+'Проверочная  таблица'!JR28+'Проверочная  таблица'!JX28+'Проверочная  таблица'!OR28+'Проверочная  таблица'!OZ28+JL28+AP28+AV28+FB28+FH28+CV28+SX28+EH28+TL28+QH28+EN28+EV28+LV28+MD28+SR28+GV28+SD28+RF28+KP28+KZ28+RL28+SJ28+CP28+QZ28+HL28+GF28+HR28+HX28+FZ28+DJ28+PX28+CB28+IP28+JF28+HD28+GL28+IV28</f>
        <v>467434449.3599999</v>
      </c>
      <c r="AO28" s="920">
        <f>'Проверочная  таблица'!VC28+'Проверочная  таблица'!VE28+BU28+BW28+CI28+CK28+BJ28+BN28+'Проверочная  таблица'!NJ28+'Проверочная  таблица'!NU28+'Проверочная  таблица'!EE28+'Проверочная  таблица'!ON28+DX28+'Проверочная  таблица'!JU28+'Проверочная  таблица'!KA28+'Проверочная  таблица'!OV28+'Проверочная  таблица'!PD28+JO28+AS28+AX28+FE28+FK28+DC28+TE28+EK28+TS28+QK28+ER28+EY28+LZ28+MH28+SU28+GZ28+SG28+RI28+KU28+LE28+RO28+SN28+CS28+RC28+HO28+GI28+HU28+IA28+GC28+DM28+QC28+CE28+IS28+JI28+HF28+GO28+IY28</f>
        <v>63472719.899999991</v>
      </c>
      <c r="AP28" s="921">
        <f t="shared" si="10"/>
        <v>2274159.02</v>
      </c>
      <c r="AQ28" s="789">
        <f>[1]Субсидия_факт!HV25</f>
        <v>2274159.02</v>
      </c>
      <c r="AR28" s="770">
        <f>[1]Субсидия_факт!MR25</f>
        <v>0</v>
      </c>
      <c r="AS28" s="921">
        <f t="shared" si="11"/>
        <v>0</v>
      </c>
      <c r="AT28" s="770">
        <v>0</v>
      </c>
      <c r="AU28" s="789"/>
      <c r="AV28" s="910">
        <f t="shared" si="12"/>
        <v>0</v>
      </c>
      <c r="AW28" s="770">
        <f>[1]Субсидия_факт!MV25</f>
        <v>0</v>
      </c>
      <c r="AX28" s="1224">
        <f t="shared" si="13"/>
        <v>0</v>
      </c>
      <c r="AY28" s="770"/>
      <c r="AZ28" s="1225">
        <f t="shared" si="14"/>
        <v>0</v>
      </c>
      <c r="BA28" s="770">
        <f t="shared" si="15"/>
        <v>0</v>
      </c>
      <c r="BB28" s="783">
        <f t="shared" si="16"/>
        <v>0</v>
      </c>
      <c r="BC28" s="789">
        <f t="shared" si="17"/>
        <v>0</v>
      </c>
      <c r="BD28" s="782">
        <f t="shared" si="18"/>
        <v>0</v>
      </c>
      <c r="BE28" s="770">
        <f>[1]Субсидия_факт!MX25</f>
        <v>0</v>
      </c>
      <c r="BF28" s="1270">
        <f t="shared" si="19"/>
        <v>0</v>
      </c>
      <c r="BG28" s="806"/>
      <c r="BH28" s="801">
        <f t="shared" si="20"/>
        <v>0</v>
      </c>
      <c r="BI28" s="770">
        <f>[1]Субсидия_факт!KZ25</f>
        <v>0</v>
      </c>
      <c r="BJ28" s="957">
        <f t="shared" si="21"/>
        <v>0</v>
      </c>
      <c r="BK28" s="806"/>
      <c r="BL28" s="801">
        <f t="shared" si="22"/>
        <v>64972277.170000002</v>
      </c>
      <c r="BM28" s="770">
        <f>[1]Субсидия_факт!LB25</f>
        <v>64972277.170000002</v>
      </c>
      <c r="BN28" s="957">
        <f t="shared" si="23"/>
        <v>0</v>
      </c>
      <c r="BO28" s="806"/>
      <c r="BP28" s="936">
        <f t="shared" si="24"/>
        <v>0</v>
      </c>
      <c r="BQ28" s="923">
        <f t="shared" si="25"/>
        <v>0</v>
      </c>
      <c r="BR28" s="934">
        <f t="shared" si="26"/>
        <v>64972277.170000002</v>
      </c>
      <c r="BS28" s="936">
        <f t="shared" si="27"/>
        <v>0</v>
      </c>
      <c r="BT28" s="801">
        <f>[1]Субсидия_факт!GV25</f>
        <v>0</v>
      </c>
      <c r="BU28" s="790"/>
      <c r="BV28" s="1253">
        <f>[1]Субсидия_факт!GX25</f>
        <v>0</v>
      </c>
      <c r="BW28" s="791"/>
      <c r="BX28" s="1252">
        <f t="shared" si="28"/>
        <v>0</v>
      </c>
      <c r="BY28" s="1235">
        <f t="shared" si="28"/>
        <v>0</v>
      </c>
      <c r="BZ28" s="783">
        <f>[1]Субсидия_факт!GZ25</f>
        <v>0</v>
      </c>
      <c r="CA28" s="804"/>
      <c r="CB28" s="846">
        <f t="shared" si="29"/>
        <v>69400159.019999996</v>
      </c>
      <c r="CC28" s="766">
        <f>[1]Субсидия_факт!HL25</f>
        <v>2274159.02</v>
      </c>
      <c r="CD28" s="770">
        <f>[1]Субсидия_факт!HN25</f>
        <v>67126000</v>
      </c>
      <c r="CE28" s="921">
        <f t="shared" si="30"/>
        <v>0</v>
      </c>
      <c r="CF28" s="770"/>
      <c r="CG28" s="770"/>
      <c r="CH28" s="957">
        <f>[1]Субсидия_факт!HB25</f>
        <v>0</v>
      </c>
      <c r="CI28" s="792"/>
      <c r="CJ28" s="957">
        <f>[1]Субсидия_факт!HD25</f>
        <v>0</v>
      </c>
      <c r="CK28" s="805"/>
      <c r="CL28" s="1226">
        <f t="shared" si="31"/>
        <v>0</v>
      </c>
      <c r="CM28" s="782">
        <f t="shared" si="31"/>
        <v>0</v>
      </c>
      <c r="CN28" s="1225">
        <f>[1]Субсидия_факт!HF25</f>
        <v>0</v>
      </c>
      <c r="CO28" s="753"/>
      <c r="CP28" s="846">
        <f t="shared" si="32"/>
        <v>46749409.060000002</v>
      </c>
      <c r="CQ28" s="766">
        <f>[1]Субсидия_факт!HP25</f>
        <v>0</v>
      </c>
      <c r="CR28" s="770">
        <f>[1]Субсидия_факт!HR25</f>
        <v>46749409.060000002</v>
      </c>
      <c r="CS28" s="921">
        <f t="shared" si="33"/>
        <v>0</v>
      </c>
      <c r="CT28" s="770"/>
      <c r="CU28" s="770"/>
      <c r="CV28" s="910">
        <f t="shared" si="34"/>
        <v>986493.67999999993</v>
      </c>
      <c r="CW28" s="763">
        <f>[1]Субсидия_факт!LR25</f>
        <v>742629.11</v>
      </c>
      <c r="CX28" s="762">
        <f>[1]Субсидия_факт!LT25</f>
        <v>243864.57</v>
      </c>
      <c r="CY28" s="754">
        <f>[1]Субсидия_факт!LV25</f>
        <v>0</v>
      </c>
      <c r="CZ28" s="762">
        <f>[1]Субсидия_факт!MB25</f>
        <v>0</v>
      </c>
      <c r="DA28" s="754">
        <f>[1]Субсидия_факт!MH25</f>
        <v>0</v>
      </c>
      <c r="DB28" s="762">
        <f>[1]Субсидия_факт!MJ25</f>
        <v>0</v>
      </c>
      <c r="DC28" s="910">
        <f t="shared" si="35"/>
        <v>0</v>
      </c>
      <c r="DD28" s="755"/>
      <c r="DE28" s="762"/>
      <c r="DF28" s="754"/>
      <c r="DG28" s="762"/>
      <c r="DH28" s="754"/>
      <c r="DI28" s="762"/>
      <c r="DJ28" s="920">
        <f t="shared" si="205"/>
        <v>19567142.100000001</v>
      </c>
      <c r="DK28" s="763">
        <f>[1]Субсидия_факт!LX25</f>
        <v>3729042.1000000015</v>
      </c>
      <c r="DL28" s="762">
        <f>[1]Субсидия_факт!MD25</f>
        <v>15838100</v>
      </c>
      <c r="DM28" s="910">
        <f t="shared" si="37"/>
        <v>0</v>
      </c>
      <c r="DN28" s="763"/>
      <c r="DO28" s="764"/>
      <c r="DP28" s="1226">
        <f t="shared" si="206"/>
        <v>0</v>
      </c>
      <c r="DQ28" s="782">
        <f t="shared" si="207"/>
        <v>0</v>
      </c>
      <c r="DR28" s="1225">
        <f t="shared" si="208"/>
        <v>19567142.100000001</v>
      </c>
      <c r="DS28" s="753">
        <f t="shared" si="209"/>
        <v>0</v>
      </c>
      <c r="DT28" s="957">
        <f t="shared" si="210"/>
        <v>1700000</v>
      </c>
      <c r="DU28" s="789">
        <f>[1]Субсидия_факт!R25</f>
        <v>0</v>
      </c>
      <c r="DV28" s="766">
        <f>[1]Субсидия_факт!T25</f>
        <v>1700000</v>
      </c>
      <c r="DW28" s="770">
        <f>[1]Субсидия_факт!V25</f>
        <v>0</v>
      </c>
      <c r="DX28" s="957">
        <f t="shared" si="211"/>
        <v>0</v>
      </c>
      <c r="DY28" s="806"/>
      <c r="DZ28" s="806"/>
      <c r="EA28" s="806"/>
      <c r="EB28" s="846">
        <f t="shared" si="38"/>
        <v>0</v>
      </c>
      <c r="EC28" s="766">
        <f>[1]Субсидия_факт!AX25</f>
        <v>0</v>
      </c>
      <c r="ED28" s="767">
        <f>[1]Субсидия_факт!AZ25</f>
        <v>0</v>
      </c>
      <c r="EE28" s="921">
        <f t="shared" si="250"/>
        <v>0</v>
      </c>
      <c r="EF28" s="810"/>
      <c r="EG28" s="811"/>
      <c r="EH28" s="801">
        <f t="shared" si="40"/>
        <v>0</v>
      </c>
      <c r="EI28" s="766">
        <f>[1]Субсидия_факт!X25</f>
        <v>0</v>
      </c>
      <c r="EJ28" s="767">
        <f>[1]Субсидия_факт!Z25</f>
        <v>0</v>
      </c>
      <c r="EK28" s="957">
        <f t="shared" si="41"/>
        <v>0</v>
      </c>
      <c r="EL28" s="766"/>
      <c r="EM28" s="767"/>
      <c r="EN28" s="920">
        <f t="shared" si="212"/>
        <v>0</v>
      </c>
      <c r="EO28" s="763">
        <f>[1]Субсидия_факт!AP25</f>
        <v>0</v>
      </c>
      <c r="EP28" s="763">
        <f>[1]Субсидия_факт!AL25</f>
        <v>0</v>
      </c>
      <c r="EQ28" s="764">
        <f>[1]Субсидия_факт!AN25</f>
        <v>0</v>
      </c>
      <c r="ER28" s="920">
        <f t="shared" si="42"/>
        <v>0</v>
      </c>
      <c r="ES28" s="763"/>
      <c r="ET28" s="763"/>
      <c r="EU28" s="764"/>
      <c r="EV28" s="920">
        <f t="shared" si="43"/>
        <v>0</v>
      </c>
      <c r="EW28" s="763">
        <f>[1]Субсидия_факт!HH25</f>
        <v>0</v>
      </c>
      <c r="EX28" s="762">
        <f>[1]Субсидия_факт!HJ25</f>
        <v>0</v>
      </c>
      <c r="EY28" s="910">
        <f t="shared" si="44"/>
        <v>0</v>
      </c>
      <c r="EZ28" s="763"/>
      <c r="FA28" s="762"/>
      <c r="FB28" s="920">
        <f t="shared" si="45"/>
        <v>0</v>
      </c>
      <c r="FC28" s="766">
        <f>[1]Субсидия_факт!PK25</f>
        <v>0</v>
      </c>
      <c r="FD28" s="767">
        <f>[1]Субсидия_факт!PQ25</f>
        <v>0</v>
      </c>
      <c r="FE28" s="910">
        <f t="shared" si="46"/>
        <v>0</v>
      </c>
      <c r="FF28" s="763"/>
      <c r="FG28" s="764"/>
      <c r="FH28" s="920">
        <f t="shared" si="47"/>
        <v>0</v>
      </c>
      <c r="FI28" s="763">
        <f>[1]Субсидия_факт!PM25</f>
        <v>0</v>
      </c>
      <c r="FJ28" s="762">
        <f>[1]Субсидия_факт!PS25</f>
        <v>0</v>
      </c>
      <c r="FK28" s="910">
        <f t="shared" si="48"/>
        <v>0</v>
      </c>
      <c r="FL28" s="763"/>
      <c r="FM28" s="764"/>
      <c r="FN28" s="1233">
        <f t="shared" si="49"/>
        <v>0</v>
      </c>
      <c r="FO28" s="763">
        <f t="shared" si="50"/>
        <v>0</v>
      </c>
      <c r="FP28" s="762">
        <f t="shared" si="50"/>
        <v>0</v>
      </c>
      <c r="FQ28" s="782">
        <f t="shared" si="51"/>
        <v>0</v>
      </c>
      <c r="FR28" s="763">
        <f t="shared" si="52"/>
        <v>0</v>
      </c>
      <c r="FS28" s="762">
        <f t="shared" si="52"/>
        <v>0</v>
      </c>
      <c r="FT28" s="1233">
        <f t="shared" si="53"/>
        <v>0</v>
      </c>
      <c r="FU28" s="763">
        <f>[1]Субсидия_факт!PO25</f>
        <v>0</v>
      </c>
      <c r="FV28" s="762">
        <f>[1]Субсидия_факт!PU25</f>
        <v>0</v>
      </c>
      <c r="FW28" s="782">
        <f t="shared" si="54"/>
        <v>0</v>
      </c>
      <c r="FX28" s="763"/>
      <c r="FY28" s="764"/>
      <c r="FZ28" s="920">
        <f t="shared" si="55"/>
        <v>0</v>
      </c>
      <c r="GA28" s="766">
        <f>[1]Субсидия_факт!EP25</f>
        <v>0</v>
      </c>
      <c r="GB28" s="767">
        <f>[1]Субсидия_факт!ER25</f>
        <v>0</v>
      </c>
      <c r="GC28" s="1234">
        <f t="shared" si="56"/>
        <v>0</v>
      </c>
      <c r="GD28" s="812"/>
      <c r="GE28" s="813"/>
      <c r="GF28" s="801">
        <f t="shared" si="57"/>
        <v>0</v>
      </c>
      <c r="GG28" s="766">
        <f>[1]Субсидия_факт!JN25</f>
        <v>0</v>
      </c>
      <c r="GH28" s="767">
        <f>[1]Субсидия_факт!JP25</f>
        <v>0</v>
      </c>
      <c r="GI28" s="801">
        <f t="shared" si="58"/>
        <v>0</v>
      </c>
      <c r="GJ28" s="812"/>
      <c r="GK28" s="813"/>
      <c r="GL28" s="1235">
        <f t="shared" si="59"/>
        <v>0</v>
      </c>
      <c r="GM28" s="763">
        <f>[1]Субсидия_факт!JR25</f>
        <v>0</v>
      </c>
      <c r="GN28" s="764">
        <f>[1]Субсидия_факт!JV25</f>
        <v>0</v>
      </c>
      <c r="GO28" s="1235">
        <f t="shared" si="60"/>
        <v>0</v>
      </c>
      <c r="GP28" s="812"/>
      <c r="GQ28" s="811"/>
      <c r="GR28" s="1235">
        <f t="shared" si="213"/>
        <v>0</v>
      </c>
      <c r="GS28" s="783">
        <f t="shared" si="214"/>
        <v>0</v>
      </c>
      <c r="GT28" s="1252">
        <f t="shared" si="215"/>
        <v>0</v>
      </c>
      <c r="GU28" s="783">
        <f t="shared" si="216"/>
        <v>0</v>
      </c>
      <c r="GV28" s="1234">
        <f t="shared" si="61"/>
        <v>0</v>
      </c>
      <c r="GW28" s="766">
        <f>[1]Субсидия_факт!KL25</f>
        <v>0</v>
      </c>
      <c r="GX28" s="767">
        <f>[1]Субсидия_факт!KN25</f>
        <v>0</v>
      </c>
      <c r="GY28" s="766">
        <f>[1]Субсидия_факт!KP25</f>
        <v>0</v>
      </c>
      <c r="GZ28" s="801">
        <f t="shared" si="62"/>
        <v>0</v>
      </c>
      <c r="HA28" s="766"/>
      <c r="HB28" s="767"/>
      <c r="HC28" s="806"/>
      <c r="HD28" s="1235">
        <f t="shared" si="217"/>
        <v>0</v>
      </c>
      <c r="HE28" s="766">
        <f>[1]Субсидия_факт!KR25</f>
        <v>0</v>
      </c>
      <c r="HF28" s="1235">
        <f t="shared" si="217"/>
        <v>0</v>
      </c>
      <c r="HG28" s="806"/>
      <c r="HH28" s="1235">
        <f t="shared" si="218"/>
        <v>0</v>
      </c>
      <c r="HI28" s="1235">
        <f t="shared" si="219"/>
        <v>0</v>
      </c>
      <c r="HJ28" s="1235">
        <f t="shared" si="220"/>
        <v>0</v>
      </c>
      <c r="HK28" s="1235">
        <f t="shared" si="221"/>
        <v>0</v>
      </c>
      <c r="HL28" s="801">
        <f t="shared" si="63"/>
        <v>9950087.3200000059</v>
      </c>
      <c r="HM28" s="766">
        <f>[1]Субсидия_факт!KV25</f>
        <v>9950087.3200000059</v>
      </c>
      <c r="HN28" s="767">
        <f>[1]Субсидия_факт!KX25</f>
        <v>0</v>
      </c>
      <c r="HO28" s="957">
        <f t="shared" si="64"/>
        <v>0</v>
      </c>
      <c r="HP28" s="766"/>
      <c r="HQ28" s="767"/>
      <c r="HR28" s="801">
        <f t="shared" si="65"/>
        <v>0</v>
      </c>
      <c r="HS28" s="766"/>
      <c r="HT28" s="767"/>
      <c r="HU28" s="957">
        <f t="shared" si="66"/>
        <v>0</v>
      </c>
      <c r="HV28" s="766"/>
      <c r="HW28" s="767"/>
      <c r="HX28" s="801">
        <f t="shared" si="67"/>
        <v>821052.83999999985</v>
      </c>
      <c r="HY28" s="766">
        <f>[1]Субсидия_факт!FV25</f>
        <v>0</v>
      </c>
      <c r="HZ28" s="767">
        <f>[1]Субсидия_факт!FZ25</f>
        <v>821052.83999999985</v>
      </c>
      <c r="IA28" s="957">
        <f t="shared" si="68"/>
        <v>0</v>
      </c>
      <c r="IB28" s="766"/>
      <c r="IC28" s="767"/>
      <c r="ID28" s="1233">
        <f t="shared" si="69"/>
        <v>0</v>
      </c>
      <c r="IE28" s="763">
        <f t="shared" si="70"/>
        <v>-821052.83999999985</v>
      </c>
      <c r="IF28" s="762">
        <f t="shared" si="70"/>
        <v>821052.83999999985</v>
      </c>
      <c r="IG28" s="782">
        <f t="shared" si="71"/>
        <v>0</v>
      </c>
      <c r="IH28" s="763">
        <f t="shared" si="72"/>
        <v>0</v>
      </c>
      <c r="II28" s="762">
        <f t="shared" si="72"/>
        <v>0</v>
      </c>
      <c r="IJ28" s="1233">
        <f t="shared" si="73"/>
        <v>821052.83999999985</v>
      </c>
      <c r="IK28" s="763">
        <f>[1]Субсидия_факт!FX25</f>
        <v>821052.83999999985</v>
      </c>
      <c r="IL28" s="762">
        <f>[1]Субсидия_факт!GB25</f>
        <v>0</v>
      </c>
      <c r="IM28" s="782">
        <f t="shared" si="74"/>
        <v>0</v>
      </c>
      <c r="IN28" s="763">
        <f t="shared" si="188"/>
        <v>0</v>
      </c>
      <c r="IO28" s="764">
        <f t="shared" si="189"/>
        <v>0</v>
      </c>
      <c r="IP28" s="801">
        <f t="shared" si="75"/>
        <v>0</v>
      </c>
      <c r="IQ28" s="763">
        <f>[1]Субсидия_факт!ED25</f>
        <v>0</v>
      </c>
      <c r="IR28" s="764">
        <f>[1]Субсидия_факт!EF25</f>
        <v>0</v>
      </c>
      <c r="IS28" s="957">
        <f t="shared" si="76"/>
        <v>0</v>
      </c>
      <c r="IT28" s="766"/>
      <c r="IU28" s="767"/>
      <c r="IV28" s="1259">
        <f t="shared" si="77"/>
        <v>0</v>
      </c>
      <c r="IW28" s="763">
        <f>[1]Субсидия_факт!EH25</f>
        <v>0</v>
      </c>
      <c r="IX28" s="764">
        <f>[1]Субсидия_факт!EL25</f>
        <v>0</v>
      </c>
      <c r="IY28" s="1254">
        <f t="shared" si="78"/>
        <v>0</v>
      </c>
      <c r="IZ28" s="766"/>
      <c r="JA28" s="793"/>
      <c r="JB28" s="1235">
        <f t="shared" si="222"/>
        <v>0</v>
      </c>
      <c r="JC28" s="1235">
        <f t="shared" si="223"/>
        <v>0</v>
      </c>
      <c r="JD28" s="1235">
        <f t="shared" si="224"/>
        <v>0</v>
      </c>
      <c r="JE28" s="783">
        <f t="shared" si="225"/>
        <v>0</v>
      </c>
      <c r="JF28" s="1234">
        <f t="shared" si="79"/>
        <v>15000000</v>
      </c>
      <c r="JG28" s="763">
        <f>[1]Субсидия_факт!BX25</f>
        <v>750000</v>
      </c>
      <c r="JH28" s="764">
        <f>[1]Субсидия_факт!BZ25</f>
        <v>14250000</v>
      </c>
      <c r="JI28" s="957">
        <f t="shared" si="80"/>
        <v>0</v>
      </c>
      <c r="JJ28" s="766"/>
      <c r="JK28" s="767"/>
      <c r="JL28" s="801">
        <f t="shared" si="81"/>
        <v>0</v>
      </c>
      <c r="JM28" s="766">
        <f>[1]Субсидия_факт!ET25</f>
        <v>0</v>
      </c>
      <c r="JN28" s="767">
        <f>[1]Субсидия_факт!EV25</f>
        <v>0</v>
      </c>
      <c r="JO28" s="957">
        <f t="shared" si="82"/>
        <v>0</v>
      </c>
      <c r="JP28" s="766"/>
      <c r="JQ28" s="767"/>
      <c r="JR28" s="910">
        <f t="shared" si="83"/>
        <v>6586.9699999999939</v>
      </c>
      <c r="JS28" s="763">
        <f>[1]Субсидия_факт!EX25</f>
        <v>0</v>
      </c>
      <c r="JT28" s="762">
        <f>[1]Субсидия_факт!FD25</f>
        <v>6586.9699999999939</v>
      </c>
      <c r="JU28" s="910">
        <f t="shared" si="84"/>
        <v>0</v>
      </c>
      <c r="JV28" s="763"/>
      <c r="JW28" s="764"/>
      <c r="JX28" s="910">
        <f t="shared" si="85"/>
        <v>6586.9699999999939</v>
      </c>
      <c r="JY28" s="763">
        <f>[1]Субсидия_факт!EZ25</f>
        <v>0</v>
      </c>
      <c r="JZ28" s="764">
        <f>[1]Субсидия_факт!FF25</f>
        <v>6586.9699999999939</v>
      </c>
      <c r="KA28" s="910">
        <f t="shared" si="86"/>
        <v>0</v>
      </c>
      <c r="KB28" s="754"/>
      <c r="KC28" s="768"/>
      <c r="KD28" s="782">
        <f t="shared" si="87"/>
        <v>-49627.920000000006</v>
      </c>
      <c r="KE28" s="755">
        <f>'Проверочная  таблица'!JY28-'Проверочная  таблица'!KK28</f>
        <v>-14615.870000000003</v>
      </c>
      <c r="KF28" s="764">
        <f>'Проверочная  таблица'!JZ28-'Проверочная  таблица'!KL28</f>
        <v>-35012.050000000003</v>
      </c>
      <c r="KG28" s="1225">
        <f t="shared" si="88"/>
        <v>0</v>
      </c>
      <c r="KH28" s="754">
        <f>'Проверочная  таблица'!KB28-'Проверочная  таблица'!KN28</f>
        <v>0</v>
      </c>
      <c r="KI28" s="771">
        <f>'Проверочная  таблица'!KC28-'Проверочная  таблица'!KO28</f>
        <v>0</v>
      </c>
      <c r="KJ28" s="782">
        <f t="shared" si="89"/>
        <v>56214.89</v>
      </c>
      <c r="KK28" s="763">
        <f>[1]Субсидия_факт!FB25</f>
        <v>14615.870000000003</v>
      </c>
      <c r="KL28" s="762">
        <f>[1]Субсидия_факт!FH25</f>
        <v>41599.019999999997</v>
      </c>
      <c r="KM28" s="782">
        <f t="shared" si="251"/>
        <v>0</v>
      </c>
      <c r="KN28" s="763"/>
      <c r="KO28" s="764"/>
      <c r="KP28" s="1217">
        <f t="shared" si="226"/>
        <v>4035660.19</v>
      </c>
      <c r="KQ28" s="754">
        <f>[1]Субсидия_факт!OD25</f>
        <v>3782048.87</v>
      </c>
      <c r="KR28" s="764">
        <f>[1]Субсидия_факт!OJ25</f>
        <v>185321.32</v>
      </c>
      <c r="KS28" s="754">
        <f>[1]Субсидия_факт!OR25</f>
        <v>24826.67</v>
      </c>
      <c r="KT28" s="764">
        <f>[1]Субсидия_факт!OT25</f>
        <v>43463.33</v>
      </c>
      <c r="KU28" s="1217">
        <f t="shared" si="91"/>
        <v>0</v>
      </c>
      <c r="KV28" s="754"/>
      <c r="KW28" s="764"/>
      <c r="KX28" s="754"/>
      <c r="KY28" s="764"/>
      <c r="KZ28" s="1217">
        <f t="shared" si="227"/>
        <v>25050</v>
      </c>
      <c r="LA28" s="789">
        <f>[1]Субсидия_факт!OF25</f>
        <v>25050</v>
      </c>
      <c r="LB28" s="767">
        <f>[1]Субсидия_факт!OL25</f>
        <v>0</v>
      </c>
      <c r="LC28" s="789"/>
      <c r="LD28" s="767"/>
      <c r="LE28" s="1217">
        <f t="shared" si="92"/>
        <v>0</v>
      </c>
      <c r="LF28" s="754"/>
      <c r="LG28" s="764"/>
      <c r="LH28" s="754"/>
      <c r="LI28" s="764"/>
      <c r="LJ28" s="1219">
        <f t="shared" si="93"/>
        <v>-18190</v>
      </c>
      <c r="LK28" s="789">
        <f t="shared" si="94"/>
        <v>-18190</v>
      </c>
      <c r="LL28" s="767">
        <f t="shared" si="94"/>
        <v>0</v>
      </c>
      <c r="LM28" s="1219">
        <f t="shared" si="95"/>
        <v>0</v>
      </c>
      <c r="LN28" s="789">
        <f t="shared" si="96"/>
        <v>0</v>
      </c>
      <c r="LO28" s="767">
        <f t="shared" si="96"/>
        <v>0</v>
      </c>
      <c r="LP28" s="1219">
        <f t="shared" si="97"/>
        <v>43240</v>
      </c>
      <c r="LQ28" s="763">
        <f>[1]Субсидия_факт!OH25</f>
        <v>43240</v>
      </c>
      <c r="LR28" s="762">
        <f>[1]Субсидия_факт!ON25</f>
        <v>0</v>
      </c>
      <c r="LS28" s="1219">
        <f t="shared" si="98"/>
        <v>0</v>
      </c>
      <c r="LT28" s="755"/>
      <c r="LU28" s="764"/>
      <c r="LV28" s="957">
        <f t="shared" si="228"/>
        <v>0</v>
      </c>
      <c r="LW28" s="769">
        <f>[1]Субсидия_факт!DP25</f>
        <v>0</v>
      </c>
      <c r="LX28" s="754">
        <f>[1]Субсидия_факт!CB25</f>
        <v>0</v>
      </c>
      <c r="LY28" s="764">
        <f>[1]Субсидия_факт!CH25</f>
        <v>0</v>
      </c>
      <c r="LZ28" s="957">
        <f t="shared" si="99"/>
        <v>0</v>
      </c>
      <c r="MA28" s="769"/>
      <c r="MB28" s="754"/>
      <c r="MC28" s="764"/>
      <c r="MD28" s="957">
        <f t="shared" si="229"/>
        <v>11449459.460000001</v>
      </c>
      <c r="ME28" s="769">
        <f>[1]Субсидия_факт!DR25</f>
        <v>0</v>
      </c>
      <c r="MF28" s="754">
        <f>[1]Субсидия_факт!CD25</f>
        <v>2976859.4600000009</v>
      </c>
      <c r="MG28" s="764">
        <f>[1]Субсидия_факт!CJ25</f>
        <v>8472600</v>
      </c>
      <c r="MH28" s="957">
        <f t="shared" si="100"/>
        <v>10467086.899999999</v>
      </c>
      <c r="MI28" s="769"/>
      <c r="MJ28" s="754">
        <v>2721442.59</v>
      </c>
      <c r="MK28" s="762">
        <v>7745644.3099999996</v>
      </c>
      <c r="ML28" s="783">
        <f t="shared" si="101"/>
        <v>11449459.460000001</v>
      </c>
      <c r="MM28" s="766">
        <f>'Проверочная  таблица'!ME28-MU28</f>
        <v>0</v>
      </c>
      <c r="MN28" s="766">
        <f>'Проверочная  таблица'!MF28-MV28</f>
        <v>2976859.4600000009</v>
      </c>
      <c r="MO28" s="767">
        <f>'Проверочная  таблица'!MG28-MW28</f>
        <v>8472600</v>
      </c>
      <c r="MP28" s="783">
        <f t="shared" si="102"/>
        <v>10467086.899999999</v>
      </c>
      <c r="MQ28" s="766">
        <f>'Проверочная  таблица'!MI28-MY28</f>
        <v>0</v>
      </c>
      <c r="MR28" s="766">
        <f>'Проверочная  таблица'!MJ28-MZ28</f>
        <v>2721442.59</v>
      </c>
      <c r="MS28" s="767">
        <f>'Проверочная  таблица'!MK28-NA28</f>
        <v>7745644.3099999996</v>
      </c>
      <c r="MT28" s="783">
        <f t="shared" si="103"/>
        <v>0</v>
      </c>
      <c r="MU28" s="754">
        <f>[1]Субсидия_факт!DT25</f>
        <v>0</v>
      </c>
      <c r="MV28" s="754">
        <f>[1]Субсидия_факт!CF25</f>
        <v>0</v>
      </c>
      <c r="MW28" s="764">
        <f>[1]Субсидия_факт!CL25</f>
        <v>0</v>
      </c>
      <c r="MX28" s="783">
        <f t="shared" si="104"/>
        <v>0</v>
      </c>
      <c r="MY28" s="754"/>
      <c r="MZ28" s="754"/>
      <c r="NA28" s="764"/>
      <c r="NB28" s="1224">
        <f t="shared" si="230"/>
        <v>56214.89</v>
      </c>
      <c r="NC28" s="754">
        <f>[1]Субсидия_факт!CN25</f>
        <v>0</v>
      </c>
      <c r="ND28" s="762">
        <f>[1]Субсидия_факт!CP25</f>
        <v>0</v>
      </c>
      <c r="NE28" s="766">
        <f>[1]Субсидия_факт!CR25</f>
        <v>0</v>
      </c>
      <c r="NF28" s="767">
        <f>[1]Субсидия_факт!CT25</f>
        <v>0</v>
      </c>
      <c r="NG28" s="755">
        <f>[1]Субсидия_факт!DV25</f>
        <v>0</v>
      </c>
      <c r="NH28" s="763">
        <f>[1]Субсидия_факт!FJ25</f>
        <v>14615.870000000003</v>
      </c>
      <c r="NI28" s="762">
        <f>[1]Субсидия_факт!FP25</f>
        <v>41599.019999999997</v>
      </c>
      <c r="NJ28" s="910">
        <f t="shared" si="105"/>
        <v>56214.89</v>
      </c>
      <c r="NK28" s="754"/>
      <c r="NL28" s="764"/>
      <c r="NM28" s="770"/>
      <c r="NN28" s="794"/>
      <c r="NO28" s="754"/>
      <c r="NP28" s="754">
        <f>NH28</f>
        <v>14615.870000000003</v>
      </c>
      <c r="NQ28" s="764">
        <f t="shared" si="249"/>
        <v>41599.019999999997</v>
      </c>
      <c r="NR28" s="910">
        <f t="shared" si="231"/>
        <v>25334.509999999995</v>
      </c>
      <c r="NS28" s="763">
        <f>[1]Субсидия_факт!FL25</f>
        <v>6586.9699999999939</v>
      </c>
      <c r="NT28" s="762">
        <f>[1]Субсидия_факт!FR25</f>
        <v>18747.54</v>
      </c>
      <c r="NU28" s="910">
        <f t="shared" si="106"/>
        <v>0</v>
      </c>
      <c r="NV28" s="755"/>
      <c r="NW28" s="764"/>
      <c r="NX28" s="782">
        <f t="shared" si="107"/>
        <v>0</v>
      </c>
      <c r="NY28" s="763">
        <f>'Проверочная  таблица'!NS28-OE28</f>
        <v>0</v>
      </c>
      <c r="NZ28" s="764">
        <f>'Проверочная  таблица'!NT28-OF28</f>
        <v>0</v>
      </c>
      <c r="OA28" s="782">
        <f t="shared" si="108"/>
        <v>0</v>
      </c>
      <c r="OB28" s="754">
        <f>'Проверочная  таблица'!NV28-OH28</f>
        <v>0</v>
      </c>
      <c r="OC28" s="771">
        <f>'Проверочная  таблица'!NW28-OI28</f>
        <v>0</v>
      </c>
      <c r="OD28" s="782">
        <f t="shared" si="232"/>
        <v>25334.509999999995</v>
      </c>
      <c r="OE28" s="763">
        <f>[1]Субсидия_факт!FN25</f>
        <v>6586.9699999999939</v>
      </c>
      <c r="OF28" s="762">
        <f>[1]Субсидия_факт!FT25</f>
        <v>18747.54</v>
      </c>
      <c r="OG28" s="782">
        <f t="shared" si="252"/>
        <v>0</v>
      </c>
      <c r="OH28" s="754">
        <f>NV28</f>
        <v>0</v>
      </c>
      <c r="OI28" s="764">
        <f>NW28</f>
        <v>0</v>
      </c>
      <c r="OJ28" s="919">
        <f t="shared" si="233"/>
        <v>0</v>
      </c>
      <c r="OK28" s="763">
        <f>[1]Субсидия_факт!AR25</f>
        <v>0</v>
      </c>
      <c r="OL28" s="762">
        <f>[1]Субсидия_факт!AT25</f>
        <v>0</v>
      </c>
      <c r="OM28" s="763">
        <f>[1]Субсидия_факт!AV25</f>
        <v>0</v>
      </c>
      <c r="ON28" s="921">
        <f t="shared" si="110"/>
        <v>0</v>
      </c>
      <c r="OO28" s="806"/>
      <c r="OP28" s="813"/>
      <c r="OQ28" s="806"/>
      <c r="OR28" s="1238">
        <f t="shared" si="111"/>
        <v>29744209.579999998</v>
      </c>
      <c r="OS28" s="763">
        <f>[1]Субсидия_факт!GD25</f>
        <v>15600000</v>
      </c>
      <c r="OT28" s="762">
        <f>[1]Субсидия_факт!GJ25</f>
        <v>14144209.58</v>
      </c>
      <c r="OU28" s="770">
        <f>[1]Субсидия_факт!GP25</f>
        <v>0</v>
      </c>
      <c r="OV28" s="1238">
        <f t="shared" si="112"/>
        <v>0</v>
      </c>
      <c r="OW28" s="755"/>
      <c r="OX28" s="764"/>
      <c r="OY28" s="754"/>
      <c r="OZ28" s="1217">
        <f t="shared" si="234"/>
        <v>39578683.5</v>
      </c>
      <c r="PA28" s="763">
        <f>[1]Субсидия_факт!GF25</f>
        <v>821052.83999999985</v>
      </c>
      <c r="PB28" s="762">
        <f>[1]Субсидия_факт!GL25</f>
        <v>15600000</v>
      </c>
      <c r="PC28" s="754">
        <f>[1]Субсидия_факт!GR25</f>
        <v>23157630.66</v>
      </c>
      <c r="PD28" s="1217">
        <f t="shared" si="113"/>
        <v>13088608.629999999</v>
      </c>
      <c r="PE28" s="754">
        <v>654430.59</v>
      </c>
      <c r="PF28" s="771">
        <v>12434178.039999999</v>
      </c>
      <c r="PG28" s="754">
        <v>0</v>
      </c>
      <c r="PH28" s="1219">
        <f t="shared" si="114"/>
        <v>14144209.58</v>
      </c>
      <c r="PI28" s="789">
        <f>'Проверочная  таблица'!PA28-PQ28</f>
        <v>0</v>
      </c>
      <c r="PJ28" s="767">
        <f>'Проверочная  таблица'!PB28-PR28</f>
        <v>0</v>
      </c>
      <c r="PK28" s="770">
        <f>'Проверочная  таблица'!PC28-PS28</f>
        <v>14144209.58</v>
      </c>
      <c r="PL28" s="1219">
        <f t="shared" si="235"/>
        <v>0</v>
      </c>
      <c r="PM28" s="755">
        <f>'Проверочная  таблица'!PE28-PU28</f>
        <v>0</v>
      </c>
      <c r="PN28" s="764">
        <f>'Проверочная  таблица'!PF28-PV28</f>
        <v>0</v>
      </c>
      <c r="PO28" s="754">
        <f>'Проверочная  таблица'!PG28-PW28</f>
        <v>0</v>
      </c>
      <c r="PP28" s="1219">
        <f t="shared" si="115"/>
        <v>25434473.920000002</v>
      </c>
      <c r="PQ28" s="763">
        <f>[1]Субсидия_факт!GH25</f>
        <v>821052.83999999985</v>
      </c>
      <c r="PR28" s="762">
        <f>[1]Субсидия_факт!GN25</f>
        <v>15600000</v>
      </c>
      <c r="PS28" s="763">
        <f>[1]Субсидия_факт!GT25</f>
        <v>9013421.0800000001</v>
      </c>
      <c r="PT28" s="1219">
        <f t="shared" si="116"/>
        <v>13088608.629999999</v>
      </c>
      <c r="PU28" s="755">
        <f t="shared" si="193"/>
        <v>654430.59</v>
      </c>
      <c r="PV28" s="764">
        <f t="shared" si="194"/>
        <v>12434178.039999999</v>
      </c>
      <c r="PW28" s="763"/>
      <c r="PX28" s="910">
        <f t="shared" si="195"/>
        <v>0</v>
      </c>
      <c r="PY28" s="766">
        <f>[1]Субсидия_факт!JB25</f>
        <v>0</v>
      </c>
      <c r="PZ28" s="767">
        <f>[1]Субсидия_факт!JH25</f>
        <v>0</v>
      </c>
      <c r="QA28" s="766"/>
      <c r="QB28" s="767"/>
      <c r="QC28" s="910">
        <f t="shared" si="196"/>
        <v>0</v>
      </c>
      <c r="QD28" s="806"/>
      <c r="QE28" s="832"/>
      <c r="QF28" s="806"/>
      <c r="QG28" s="832"/>
      <c r="QH28" s="921">
        <f t="shared" si="117"/>
        <v>0</v>
      </c>
      <c r="QI28" s="766">
        <f>[1]Субсидия_факт!JD25</f>
        <v>0</v>
      </c>
      <c r="QJ28" s="767">
        <f>[1]Субсидия_факт!JJ25</f>
        <v>0</v>
      </c>
      <c r="QK28" s="1271">
        <f t="shared" si="118"/>
        <v>0</v>
      </c>
      <c r="QL28" s="806"/>
      <c r="QM28" s="832"/>
      <c r="QN28" s="923">
        <f t="shared" si="236"/>
        <v>0</v>
      </c>
      <c r="QO28" s="806">
        <f t="shared" si="119"/>
        <v>0</v>
      </c>
      <c r="QP28" s="813">
        <f t="shared" si="119"/>
        <v>0</v>
      </c>
      <c r="QQ28" s="936">
        <f t="shared" si="120"/>
        <v>0</v>
      </c>
      <c r="QR28" s="766">
        <f t="shared" si="121"/>
        <v>0</v>
      </c>
      <c r="QS28" s="767">
        <f t="shared" si="121"/>
        <v>0</v>
      </c>
      <c r="QT28" s="936">
        <f t="shared" si="122"/>
        <v>0</v>
      </c>
      <c r="QU28" s="766">
        <f>[1]Субсидия_факт!JF25</f>
        <v>0</v>
      </c>
      <c r="QV28" s="767">
        <f>[1]Субсидия_факт!JL25</f>
        <v>0</v>
      </c>
      <c r="QW28" s="923">
        <f t="shared" si="237"/>
        <v>0</v>
      </c>
      <c r="QX28" s="806"/>
      <c r="QY28" s="832"/>
      <c r="QZ28" s="801">
        <f t="shared" si="123"/>
        <v>0</v>
      </c>
      <c r="RA28" s="766">
        <f>[1]Субсидия_факт!CV25</f>
        <v>0</v>
      </c>
      <c r="RB28" s="767">
        <f>[1]Субсидия_факт!CX25</f>
        <v>0</v>
      </c>
      <c r="RC28" s="957">
        <f t="shared" si="124"/>
        <v>0</v>
      </c>
      <c r="RD28" s="766"/>
      <c r="RE28" s="767"/>
      <c r="RF28" s="801">
        <f t="shared" si="125"/>
        <v>0</v>
      </c>
      <c r="RG28" s="766">
        <f>[1]Субсидия_факт!CZ25</f>
        <v>0</v>
      </c>
      <c r="RH28" s="767">
        <f>[1]Субсидия_факт!DF25</f>
        <v>0</v>
      </c>
      <c r="RI28" s="957">
        <f t="shared" si="126"/>
        <v>0</v>
      </c>
      <c r="RJ28" s="766"/>
      <c r="RK28" s="767"/>
      <c r="RL28" s="801">
        <f t="shared" si="127"/>
        <v>0</v>
      </c>
      <c r="RM28" s="766">
        <f>[1]Субсидия_факт!DB25</f>
        <v>0</v>
      </c>
      <c r="RN28" s="767">
        <f>[1]Субсидия_факт!DH25</f>
        <v>0</v>
      </c>
      <c r="RO28" s="957">
        <f t="shared" si="128"/>
        <v>0</v>
      </c>
      <c r="RP28" s="766"/>
      <c r="RQ28" s="767"/>
      <c r="RR28" s="1235">
        <f t="shared" si="129"/>
        <v>0</v>
      </c>
      <c r="RS28" s="766">
        <f t="shared" si="130"/>
        <v>0</v>
      </c>
      <c r="RT28" s="767">
        <f t="shared" si="130"/>
        <v>0</v>
      </c>
      <c r="RU28" s="783">
        <f t="shared" si="131"/>
        <v>0</v>
      </c>
      <c r="RV28" s="766">
        <f t="shared" si="132"/>
        <v>0</v>
      </c>
      <c r="RW28" s="767">
        <f t="shared" si="132"/>
        <v>0</v>
      </c>
      <c r="RX28" s="1235">
        <f t="shared" si="133"/>
        <v>0</v>
      </c>
      <c r="RY28" s="766">
        <f>[1]Субсидия_факт!DD25</f>
        <v>0</v>
      </c>
      <c r="RZ28" s="767">
        <f>[1]Субсидия_факт!DJ25</f>
        <v>0</v>
      </c>
      <c r="SA28" s="783">
        <f t="shared" si="134"/>
        <v>0</v>
      </c>
      <c r="SB28" s="766"/>
      <c r="SC28" s="767"/>
      <c r="SD28" s="846">
        <f t="shared" si="135"/>
        <v>0</v>
      </c>
      <c r="SE28" s="766">
        <f>[1]Субсидия_факт!DL25</f>
        <v>0</v>
      </c>
      <c r="SF28" s="767">
        <f>[1]Субсидия_факт!DN25</f>
        <v>0</v>
      </c>
      <c r="SG28" s="1271">
        <f t="shared" si="136"/>
        <v>0</v>
      </c>
      <c r="SH28" s="810"/>
      <c r="SI28" s="811"/>
      <c r="SJ28" s="957">
        <f t="shared" si="238"/>
        <v>0</v>
      </c>
      <c r="SK28" s="763">
        <f>[1]Субсидия_факт!BJ25</f>
        <v>0</v>
      </c>
      <c r="SL28" s="766">
        <f>[1]Субсидия_факт!BF25</f>
        <v>0</v>
      </c>
      <c r="SM28" s="793">
        <f>[1]Субсидия_факт!BH25</f>
        <v>0</v>
      </c>
      <c r="SN28" s="957">
        <f t="shared" si="137"/>
        <v>0</v>
      </c>
      <c r="SO28" s="814"/>
      <c r="SP28" s="810"/>
      <c r="SQ28" s="811"/>
      <c r="SR28" s="801">
        <f t="shared" si="138"/>
        <v>0</v>
      </c>
      <c r="SS28" s="766">
        <f>[1]Субсидия_факт!AD25</f>
        <v>0</v>
      </c>
      <c r="ST28" s="767">
        <f>[1]Субсидия_факт!AF25</f>
        <v>0</v>
      </c>
      <c r="SU28" s="921">
        <f t="shared" si="139"/>
        <v>0</v>
      </c>
      <c r="SV28" s="810"/>
      <c r="SW28" s="811"/>
      <c r="SX28" s="801">
        <f t="shared" si="239"/>
        <v>0</v>
      </c>
      <c r="SY28" s="766">
        <f>[1]Субсидия_факт!ID25</f>
        <v>0</v>
      </c>
      <c r="SZ28" s="767">
        <f>[1]Субсидия_факт!IJ25</f>
        <v>0</v>
      </c>
      <c r="TA28" s="789">
        <f>[1]Субсидия_факт!IP25</f>
        <v>0</v>
      </c>
      <c r="TB28" s="767">
        <f>[1]Субсидия_факт!IV25</f>
        <v>0</v>
      </c>
      <c r="TC28" s="1028">
        <f>[1]Субсидия_факт!JZ25</f>
        <v>0</v>
      </c>
      <c r="TD28" s="793">
        <f>[1]Субсидия_факт!KF25</f>
        <v>0</v>
      </c>
      <c r="TE28" s="957">
        <f t="shared" si="140"/>
        <v>0</v>
      </c>
      <c r="TF28" s="1162"/>
      <c r="TG28" s="794"/>
      <c r="TH28" s="1162"/>
      <c r="TI28" s="794"/>
      <c r="TJ28" s="922"/>
      <c r="TK28" s="811"/>
      <c r="TL28" s="846">
        <f t="shared" si="141"/>
        <v>27392664.370000001</v>
      </c>
      <c r="TM28" s="766">
        <f>[1]Субсидия_факт!IF25</f>
        <v>1369633.2100000046</v>
      </c>
      <c r="TN28" s="767">
        <f>[1]Субсидия_факт!IL25</f>
        <v>26023031.159999996</v>
      </c>
      <c r="TO28" s="789">
        <f>[1]Субсидия_факт!IR25</f>
        <v>0</v>
      </c>
      <c r="TP28" s="767">
        <f>[1]Субсидия_факт!IX25</f>
        <v>0</v>
      </c>
      <c r="TQ28" s="789">
        <f>[1]Субсидия_факт!KB25</f>
        <v>0</v>
      </c>
      <c r="TR28" s="767">
        <f>[1]Субсидия_факт!KH25</f>
        <v>0</v>
      </c>
      <c r="TS28" s="921">
        <f t="shared" si="142"/>
        <v>6080187.1799999997</v>
      </c>
      <c r="TT28" s="806">
        <v>304009.36</v>
      </c>
      <c r="TU28" s="832">
        <v>5776177.8199999994</v>
      </c>
      <c r="TV28" s="1028"/>
      <c r="TW28" s="794"/>
      <c r="TX28" s="806"/>
      <c r="TY28" s="832"/>
      <c r="TZ28" s="923">
        <f t="shared" si="143"/>
        <v>27392664.370000001</v>
      </c>
      <c r="UA28" s="812">
        <f t="shared" si="144"/>
        <v>1369633.2100000046</v>
      </c>
      <c r="UB28" s="813">
        <f t="shared" si="144"/>
        <v>26023031.159999996</v>
      </c>
      <c r="UC28" s="812">
        <f t="shared" si="144"/>
        <v>0</v>
      </c>
      <c r="UD28" s="813">
        <f t="shared" si="144"/>
        <v>0</v>
      </c>
      <c r="UE28" s="810">
        <f t="shared" si="144"/>
        <v>0</v>
      </c>
      <c r="UF28" s="813">
        <f t="shared" si="144"/>
        <v>0</v>
      </c>
      <c r="UG28" s="923">
        <f t="shared" si="145"/>
        <v>6080187.1799999997</v>
      </c>
      <c r="UH28" s="812">
        <f t="shared" si="146"/>
        <v>304009.36</v>
      </c>
      <c r="UI28" s="813">
        <f t="shared" si="146"/>
        <v>5776177.8199999994</v>
      </c>
      <c r="UJ28" s="812">
        <f t="shared" si="146"/>
        <v>0</v>
      </c>
      <c r="UK28" s="813">
        <f t="shared" si="146"/>
        <v>0</v>
      </c>
      <c r="UL28" s="810">
        <f t="shared" si="146"/>
        <v>0</v>
      </c>
      <c r="UM28" s="813">
        <f t="shared" si="146"/>
        <v>0</v>
      </c>
      <c r="UN28" s="936">
        <f t="shared" si="147"/>
        <v>0</v>
      </c>
      <c r="UO28" s="766">
        <f>[1]Субсидия_факт!IH25</f>
        <v>0</v>
      </c>
      <c r="UP28" s="767">
        <f>[1]Субсидия_факт!IN25</f>
        <v>0</v>
      </c>
      <c r="UQ28" s="789">
        <f>[1]Субсидия_факт!IT25</f>
        <v>0</v>
      </c>
      <c r="UR28" s="767">
        <f>[1]Субсидия_факт!IZ25</f>
        <v>0</v>
      </c>
      <c r="US28" s="789">
        <f>[1]Субсидия_факт!KD25</f>
        <v>0</v>
      </c>
      <c r="UT28" s="767">
        <f>[1]Субсидия_факт!KJ25</f>
        <v>0</v>
      </c>
      <c r="UU28" s="923">
        <f t="shared" si="148"/>
        <v>0</v>
      </c>
      <c r="UV28" s="1028"/>
      <c r="UW28" s="794"/>
      <c r="UX28" s="1028"/>
      <c r="UY28" s="794"/>
      <c r="UZ28" s="1028"/>
      <c r="VA28" s="794"/>
      <c r="VB28" s="957">
        <f>'Прочая  субсидия_МР  и  ГО'!B23</f>
        <v>110528503.42</v>
      </c>
      <c r="VC28" s="957">
        <f>'Прочая  субсидия_МР  и  ГО'!C23</f>
        <v>25826624.309999999</v>
      </c>
      <c r="VD28" s="1234">
        <f>'Прочая  субсидия_БП'!B23</f>
        <v>13164715.290000007</v>
      </c>
      <c r="VE28" s="801">
        <f>'Прочая  субсидия_БП'!C23</f>
        <v>7953997.9900000002</v>
      </c>
      <c r="VF28" s="1267">
        <f>'Прочая  субсидия_БП'!D23</f>
        <v>699024.02000000025</v>
      </c>
      <c r="VG28" s="958">
        <f>'Прочая  субсидия_БП'!E23</f>
        <v>171037.99999999994</v>
      </c>
      <c r="VH28" s="1268">
        <f>'Прочая  субсидия_БП'!F23</f>
        <v>12465691.270000005</v>
      </c>
      <c r="VI28" s="1267">
        <f>'Прочая  субсидия_БП'!G23</f>
        <v>7782959.9900000002</v>
      </c>
      <c r="VJ28" s="801">
        <f t="shared" si="149"/>
        <v>627266985.3900001</v>
      </c>
      <c r="VK28" s="770">
        <f>'Проверочная  таблица'!WM28+'Проверочная  таблица'!VP28+'Проверочная  таблица'!VR28+WG28</f>
        <v>606874164.81000006</v>
      </c>
      <c r="VL28" s="795">
        <f>'Проверочная  таблица'!WN28+'Проверочная  таблица'!VV28+'Проверочная  таблица'!WB28+'Проверочная  таблица'!VX28+'Проверочная  таблица'!VZ28+WD28+WH28+VT28</f>
        <v>20392820.579999998</v>
      </c>
      <c r="VM28" s="957">
        <f t="shared" si="150"/>
        <v>507159229.92000008</v>
      </c>
      <c r="VN28" s="770">
        <f>'Проверочная  таблица'!WP28+'Проверочная  таблица'!VQ28+'Проверочная  таблица'!VS28+WJ28</f>
        <v>495182601.70000005</v>
      </c>
      <c r="VO28" s="795">
        <f>'Проверочная  таблица'!WQ28+'Проверочная  таблица'!VW28+'Проверочная  таблица'!WC28+'Проверочная  таблица'!VY28+'Проверочная  таблица'!WA28+WE28+WK28+VU28</f>
        <v>11976628.219999999</v>
      </c>
      <c r="VP28" s="1253">
        <f>'Субвенция  на  полномочия'!B23</f>
        <v>573748451.70000005</v>
      </c>
      <c r="VQ28" s="1234">
        <f>'Субвенция  на  полномочия'!C23</f>
        <v>475657250.97000003</v>
      </c>
      <c r="VR28" s="790">
        <f>[1]Субвенция_факт!M24*1000</f>
        <v>25267000</v>
      </c>
      <c r="VS28" s="796">
        <v>15000000</v>
      </c>
      <c r="VT28" s="790">
        <f>[1]Субвенция_факт!AE24*1000</f>
        <v>0</v>
      </c>
      <c r="VU28" s="796"/>
      <c r="VV28" s="790">
        <f>[1]Субвенция_факт!AF24*1000</f>
        <v>3858100</v>
      </c>
      <c r="VW28" s="796">
        <f>ВУС!E168</f>
        <v>1929050</v>
      </c>
      <c r="VX28" s="1256">
        <f>[1]Субвенция_факт!AG24*1000</f>
        <v>0</v>
      </c>
      <c r="VY28" s="797"/>
      <c r="VZ28" s="792">
        <f>[1]Субвенция_факт!E24*1000</f>
        <v>0</v>
      </c>
      <c r="WA28" s="797"/>
      <c r="WB28" s="792">
        <f>[1]Субвенция_факт!F24*1000</f>
        <v>0</v>
      </c>
      <c r="WC28" s="797"/>
      <c r="WD28" s="791">
        <f>[1]Субвенция_факт!G24*1000</f>
        <v>0</v>
      </c>
      <c r="WE28" s="796"/>
      <c r="WF28" s="801">
        <f t="shared" si="151"/>
        <v>21256379.16</v>
      </c>
      <c r="WG28" s="766">
        <f>[1]Субвенция_факт!P24*1000</f>
        <v>5526658.5800000001</v>
      </c>
      <c r="WH28" s="767">
        <f>[1]Субвенция_факт!Q24*1000</f>
        <v>15729720.58</v>
      </c>
      <c r="WI28" s="957">
        <f t="shared" si="152"/>
        <v>13020579.73</v>
      </c>
      <c r="WJ28" s="770">
        <v>3385350.73</v>
      </c>
      <c r="WK28" s="798">
        <v>9635229</v>
      </c>
      <c r="WL28" s="957">
        <f t="shared" si="153"/>
        <v>3137054.5300000003</v>
      </c>
      <c r="WM28" s="799">
        <f>[1]Субвенция_факт!X24*1000</f>
        <v>2332054.5300000003</v>
      </c>
      <c r="WN28" s="800">
        <f>[1]Субвенция_факт!W24*1000</f>
        <v>805000</v>
      </c>
      <c r="WO28" s="957">
        <f t="shared" si="154"/>
        <v>1552349.22</v>
      </c>
      <c r="WP28" s="770">
        <v>1140000</v>
      </c>
      <c r="WQ28" s="798">
        <v>412349.22</v>
      </c>
      <c r="WR28" s="957">
        <f t="shared" si="240"/>
        <v>149064309.03000003</v>
      </c>
      <c r="WS28" s="957">
        <f t="shared" si="241"/>
        <v>55371895.68</v>
      </c>
      <c r="WT28" s="1253">
        <f t="shared" si="155"/>
        <v>0</v>
      </c>
      <c r="WU28" s="799">
        <f>'[1]Иные межбюджетные трансферты'!AM25</f>
        <v>0</v>
      </c>
      <c r="WV28" s="800">
        <f>'[1]Иные межбюджетные трансферты'!AO25</f>
        <v>0</v>
      </c>
      <c r="WW28" s="1253">
        <f t="shared" si="156"/>
        <v>0</v>
      </c>
      <c r="WX28" s="799"/>
      <c r="WY28" s="800"/>
      <c r="WZ28" s="957">
        <f t="shared" si="157"/>
        <v>3235429.67</v>
      </c>
      <c r="XA28" s="799">
        <f>'[1]Иные межбюджетные трансферты'!AI25</f>
        <v>161771.49</v>
      </c>
      <c r="XB28" s="800">
        <f>'[1]Иные межбюджетные трансферты'!AK25</f>
        <v>3073658.1799999997</v>
      </c>
      <c r="XC28" s="957">
        <f t="shared" si="158"/>
        <v>2022143.54</v>
      </c>
      <c r="XD28" s="799">
        <v>101107.18</v>
      </c>
      <c r="XE28" s="800">
        <v>1921036.36</v>
      </c>
      <c r="XF28" s="957">
        <f t="shared" si="159"/>
        <v>19833291</v>
      </c>
      <c r="XG28" s="799">
        <f>'[1]Иные межбюджетные трансферты'!I25</f>
        <v>0</v>
      </c>
      <c r="XH28" s="800">
        <f>'[1]Иные межбюджетные трансферты'!K25</f>
        <v>19833291</v>
      </c>
      <c r="XI28" s="957">
        <f t="shared" si="242"/>
        <v>19833290.879999999</v>
      </c>
      <c r="XJ28" s="786"/>
      <c r="XK28" s="800">
        <v>19833290.879999999</v>
      </c>
      <c r="XL28" s="957">
        <f t="shared" si="161"/>
        <v>0</v>
      </c>
      <c r="XM28" s="789"/>
      <c r="XN28" s="957">
        <f t="shared" si="162"/>
        <v>0</v>
      </c>
      <c r="XO28" s="789"/>
      <c r="XP28" s="801">
        <f t="shared" si="163"/>
        <v>3300309.39</v>
      </c>
      <c r="XQ28" s="766">
        <f>'[1]Иные межбюджетные трансферты'!M25</f>
        <v>3300309.39</v>
      </c>
      <c r="XR28" s="957">
        <f t="shared" si="164"/>
        <v>3300309.39</v>
      </c>
      <c r="XS28" s="770">
        <v>3300309.39</v>
      </c>
      <c r="XT28" s="1252">
        <f t="shared" si="165"/>
        <v>0</v>
      </c>
      <c r="XU28" s="783">
        <f t="shared" si="166"/>
        <v>0</v>
      </c>
      <c r="XV28" s="1252">
        <f t="shared" si="167"/>
        <v>3300309.39</v>
      </c>
      <c r="XW28" s="783">
        <f t="shared" si="168"/>
        <v>3300309.39</v>
      </c>
      <c r="XX28" s="957">
        <f t="shared" si="243"/>
        <v>52815782.869999997</v>
      </c>
      <c r="XY28" s="787">
        <f>'[1]Иные межбюджетные трансферты'!E25</f>
        <v>0</v>
      </c>
      <c r="XZ28" s="799">
        <f>'[1]Иные межбюджетные трансферты'!G25</f>
        <v>37341491.079999998</v>
      </c>
      <c r="YA28" s="786">
        <f>'[1]Иные межбюджетные трансферты'!Q25</f>
        <v>0</v>
      </c>
      <c r="YB28" s="787">
        <f>'[1]Иные межбюджетные трансферты'!W25</f>
        <v>0</v>
      </c>
      <c r="YC28" s="786">
        <f>'[1]Иные межбюджетные трансферты'!Y25</f>
        <v>9476000</v>
      </c>
      <c r="YD28" s="1116">
        <f>'[1]Иные межбюджетные трансферты'!AE25</f>
        <v>2770413.39</v>
      </c>
      <c r="YE28" s="786">
        <f>'[1]Иные межбюджетные трансферты'!AQ25</f>
        <v>0</v>
      </c>
      <c r="YF28" s="766">
        <f>'[1]Иные межбюджетные трансферты'!AW25</f>
        <v>0</v>
      </c>
      <c r="YG28" s="786">
        <f>'[1]Иные межбюджетные трансферты'!AY25</f>
        <v>0</v>
      </c>
      <c r="YH28" s="1116">
        <f>'[1]Иные межбюджетные трансферты'!BA25</f>
        <v>3227878.4000000004</v>
      </c>
      <c r="YI28" s="957">
        <f t="shared" si="244"/>
        <v>11437567.949999999</v>
      </c>
      <c r="YJ28" s="786"/>
      <c r="YK28" s="786"/>
      <c r="YL28" s="755"/>
      <c r="YM28" s="786"/>
      <c r="YN28" s="751">
        <f t="shared" si="245"/>
        <v>9476000</v>
      </c>
      <c r="YO28" s="751">
        <v>237674.85</v>
      </c>
      <c r="YP28" s="751"/>
      <c r="YQ28" s="751"/>
      <c r="YR28" s="751"/>
      <c r="YS28" s="751">
        <v>1723893.1</v>
      </c>
      <c r="YT28" s="957">
        <f t="shared" si="169"/>
        <v>69879496.100000009</v>
      </c>
      <c r="YU28" s="799">
        <f>'[1]Иные межбюджетные трансферты'!S25</f>
        <v>23826334.740000002</v>
      </c>
      <c r="YV28" s="786">
        <f>'[1]Иные межбюджетные трансферты'!AA25</f>
        <v>4738000</v>
      </c>
      <c r="YW28" s="1116">
        <f>'[1]Иные межбюджетные трансферты'!AG25</f>
        <v>35196619.5</v>
      </c>
      <c r="YX28" s="787">
        <f>'[1]Иные межбюджетные трансферты'!AS25</f>
        <v>0</v>
      </c>
      <c r="YY28" s="751">
        <f>'[1]Иные межбюджетные трансферты'!BC25</f>
        <v>6118541.8600000003</v>
      </c>
      <c r="YZ28" s="957">
        <f t="shared" si="170"/>
        <v>18778583.920000002</v>
      </c>
      <c r="ZA28" s="769">
        <f>363557.37+199200+185869.1+3499997.79+405000+3508128.51+638675.3+3153427.36+2086728.49</f>
        <v>14040583.92</v>
      </c>
      <c r="ZB28" s="769">
        <f t="shared" si="246"/>
        <v>4738000</v>
      </c>
      <c r="ZC28" s="769"/>
      <c r="ZD28" s="751"/>
      <c r="ZE28" s="751"/>
      <c r="ZF28" s="783">
        <f t="shared" si="171"/>
        <v>62569958.960000001</v>
      </c>
      <c r="ZG28" s="763">
        <f>'Проверочная  таблица'!YU28-ZS28</f>
        <v>21677430.740000002</v>
      </c>
      <c r="ZH28" s="763">
        <f>'Проверочная  таблица'!YV28-ZT28</f>
        <v>0</v>
      </c>
      <c r="ZI28" s="763">
        <f>'Проверочная  таблица'!YW28-ZU28</f>
        <v>35196619.5</v>
      </c>
      <c r="ZJ28" s="763">
        <f>'Проверочная  таблица'!YX28-ZV28</f>
        <v>0</v>
      </c>
      <c r="ZK28" s="763">
        <f>'Проверочная  таблица'!YY28-ZW28</f>
        <v>5695908.7200000007</v>
      </c>
      <c r="ZL28" s="783">
        <f t="shared" si="172"/>
        <v>13677026.550000001</v>
      </c>
      <c r="ZM28" s="763">
        <f>'Проверочная  таблица'!ZA28-ZY28</f>
        <v>13677026.550000001</v>
      </c>
      <c r="ZN28" s="763">
        <f>'Проверочная  таблица'!ZB28-ZZ28</f>
        <v>0</v>
      </c>
      <c r="ZO28" s="763">
        <f>'Проверочная  таблица'!ZC28-AAA28</f>
        <v>0</v>
      </c>
      <c r="ZP28" s="763">
        <f>'Проверочная  таблица'!ZD28-AAB28</f>
        <v>0</v>
      </c>
      <c r="ZQ28" s="763">
        <f>'Проверочная  таблица'!ZE28-AAC28</f>
        <v>0</v>
      </c>
      <c r="ZR28" s="783">
        <f t="shared" si="173"/>
        <v>7309537.1399999997</v>
      </c>
      <c r="ZS28" s="799">
        <f>'[1]Иные межбюджетные трансферты'!U25</f>
        <v>2148904</v>
      </c>
      <c r="ZT28" s="786">
        <f>'[1]Иные межбюджетные трансферты'!AC25</f>
        <v>4738000</v>
      </c>
      <c r="ZU28" s="787"/>
      <c r="ZV28" s="799">
        <f>'[1]Иные межбюджетные трансферты'!AU25</f>
        <v>0</v>
      </c>
      <c r="ZW28" s="751">
        <f>'[1]Иные межбюджетные трансферты'!$BE$25</f>
        <v>422633.14</v>
      </c>
      <c r="ZX28" s="783">
        <f t="shared" si="174"/>
        <v>5101557.37</v>
      </c>
      <c r="ZY28" s="769">
        <v>363557.37</v>
      </c>
      <c r="ZZ28" s="769">
        <f t="shared" si="247"/>
        <v>4738000</v>
      </c>
      <c r="AAA28" s="769"/>
      <c r="AAB28" s="751"/>
      <c r="AAC28" s="751"/>
      <c r="AAD28" s="957">
        <f>AAF28+'Проверочная  таблица'!AAN28+AAJ28+'Проверочная  таблица'!AAR28+AAL28+'Проверочная  таблица'!AAT28</f>
        <v>-2350000</v>
      </c>
      <c r="AAE28" s="957">
        <f>AAG28+'Проверочная  таблица'!AAO28+AAK28+'Проверочная  таблица'!AAS28+AAM28+'Проверочная  таблица'!AAU28</f>
        <v>0</v>
      </c>
      <c r="AAF28" s="801"/>
      <c r="AAG28" s="801"/>
      <c r="AAH28" s="801"/>
      <c r="AAI28" s="801"/>
      <c r="AAJ28" s="1269">
        <f t="shared" si="175"/>
        <v>0</v>
      </c>
      <c r="AAK28" s="809">
        <f t="shared" si="175"/>
        <v>0</v>
      </c>
      <c r="AAL28" s="815"/>
      <c r="AAM28" s="809"/>
      <c r="AAN28" s="801">
        <v>-1700000</v>
      </c>
      <c r="AAO28" s="801"/>
      <c r="AAP28" s="801">
        <v>-650000</v>
      </c>
      <c r="AAQ28" s="801"/>
      <c r="AAR28" s="1269">
        <f t="shared" si="176"/>
        <v>0</v>
      </c>
      <c r="AAS28" s="809">
        <f t="shared" si="176"/>
        <v>0</v>
      </c>
      <c r="AAT28" s="809">
        <v>-650000</v>
      </c>
      <c r="AAU28" s="809"/>
      <c r="AAV28" s="1246">
        <f>'Проверочная  таблица'!AAN28+'Проверочная  таблица'!AAP28</f>
        <v>-2350000</v>
      </c>
      <c r="AAW28" s="1246">
        <f>'Проверочная  таблица'!AAO28+'Проверочная  таблица'!AAQ28</f>
        <v>0</v>
      </c>
    </row>
    <row r="29" spans="1:725" ht="24" customHeight="1" x14ac:dyDescent="0.25">
      <c r="A29" s="784" t="s">
        <v>1317</v>
      </c>
      <c r="B29" s="801">
        <f>D29+AN29+'Проверочная  таблица'!VJ29+'Проверочная  таблица'!WR29</f>
        <v>840218927.33999991</v>
      </c>
      <c r="C29" s="957">
        <f>E29+'Проверочная  таблица'!VM29+AO29+'Проверочная  таблица'!WS29</f>
        <v>411398424.43000007</v>
      </c>
      <c r="D29" s="1234">
        <f t="shared" si="0"/>
        <v>323594165.05000001</v>
      </c>
      <c r="E29" s="801">
        <f t="shared" si="1"/>
        <v>157463040</v>
      </c>
      <c r="F29" s="1238">
        <f>'[1]Дотация  из  ОБ_факт'!M24</f>
        <v>226986839</v>
      </c>
      <c r="G29" s="1247">
        <v>103051814</v>
      </c>
      <c r="H29" s="1238">
        <f>'[1]Дотация  из  ОБ_факт'!G24</f>
        <v>31496305.050000001</v>
      </c>
      <c r="I29" s="1247">
        <v>17806110</v>
      </c>
      <c r="J29" s="1248">
        <f t="shared" si="2"/>
        <v>31496305.050000001</v>
      </c>
      <c r="K29" s="1249">
        <f t="shared" si="2"/>
        <v>17806110</v>
      </c>
      <c r="L29" s="1248">
        <f>'[1]Дотация  из  ОБ_факт'!K24</f>
        <v>0</v>
      </c>
      <c r="M29" s="785"/>
      <c r="N29" s="1238">
        <f>'[1]Дотация  из  ОБ_факт'!Q24</f>
        <v>17350000</v>
      </c>
      <c r="O29" s="1247"/>
      <c r="P29" s="1238">
        <f>'[1]Дотация  из  ОБ_факт'!S24</f>
        <v>46817146</v>
      </c>
      <c r="Q29" s="1247">
        <v>36305116</v>
      </c>
      <c r="R29" s="1248">
        <f t="shared" si="3"/>
        <v>46817146</v>
      </c>
      <c r="S29" s="1249">
        <f t="shared" si="3"/>
        <v>36305116</v>
      </c>
      <c r="T29" s="1248">
        <f>'[1]Дотация  из  ОБ_факт'!W24</f>
        <v>0</v>
      </c>
      <c r="U29" s="785"/>
      <c r="V29" s="790">
        <f t="shared" si="4"/>
        <v>300000</v>
      </c>
      <c r="W29" s="1250">
        <f>'[1]Дотация  из  ОБ_факт'!AA24</f>
        <v>300000</v>
      </c>
      <c r="X29" s="1251">
        <f>'[1]Дотация  из  ОБ_факт'!AC24</f>
        <v>0</v>
      </c>
      <c r="Y29" s="1251">
        <f>'[1]Дотация  из  ОБ_факт'!AG24</f>
        <v>0</v>
      </c>
      <c r="Z29" s="791">
        <f t="shared" si="5"/>
        <v>300000</v>
      </c>
      <c r="AA29" s="751">
        <f t="shared" si="180"/>
        <v>300000</v>
      </c>
      <c r="AB29" s="751">
        <f t="shared" si="180"/>
        <v>0</v>
      </c>
      <c r="AC29" s="786"/>
      <c r="AD29" s="790">
        <f t="shared" si="6"/>
        <v>643875</v>
      </c>
      <c r="AE29" s="1250">
        <f>'[1]Дотация  из  ОБ_факт'!Y24</f>
        <v>643875</v>
      </c>
      <c r="AF29" s="1251">
        <f>'[1]Дотация  из  ОБ_факт'!AE24</f>
        <v>0</v>
      </c>
      <c r="AG29" s="790">
        <f t="shared" si="7"/>
        <v>0</v>
      </c>
      <c r="AH29" s="787"/>
      <c r="AI29" s="786"/>
      <c r="AJ29" s="1248">
        <f t="shared" si="8"/>
        <v>643875</v>
      </c>
      <c r="AK29" s="1249">
        <f t="shared" si="9"/>
        <v>0</v>
      </c>
      <c r="AL29" s="1248">
        <f>'[1]Дотация  из  ОБ_факт'!AE24</f>
        <v>0</v>
      </c>
      <c r="AM29" s="788"/>
      <c r="AN29" s="919">
        <f>'Проверочная  таблица'!VB29+'Проверочная  таблица'!VD29+BT29+BV29+CH29+CJ29+BH29+BL29+'Проверочная  таблица'!NB29+'Проверочная  таблица'!NR29+'Проверочная  таблица'!EB29+'Проверочная  таблица'!OJ29+DT29+'Проверочная  таблица'!JR29+'Проверочная  таблица'!JX29+'Проверочная  таблица'!OR29+'Проверочная  таблица'!OZ29+JL29+AP29+AV29+FB29+FH29+CV29+SX29+EH29+TL29+QH29+EN29+EV29+LV29+MD29+SR29+GV29+SD29+RF29+KP29+KZ29+RL29+SJ29+CP29+QZ29+HL29+GF29+HR29+HX29+FZ29+DJ29+PX29+CB29+IP29+JF29+HD29+GL29+IV29</f>
        <v>111717788.67999999</v>
      </c>
      <c r="AO29" s="920">
        <f>'Проверочная  таблица'!VC29+'Проверочная  таблица'!VE29+BU29+BW29+CI29+CK29+BJ29+BN29+'Проверочная  таблица'!NJ29+'Проверочная  таблица'!NU29+'Проверочная  таблица'!EE29+'Проверочная  таблица'!ON29+DX29+'Проверочная  таблица'!JU29+'Проверочная  таблица'!KA29+'Проверочная  таблица'!OV29+'Проверочная  таблица'!PD29+JO29+AS29+AX29+FE29+FK29+DC29+TE29+EK29+TS29+QK29+ER29+EY29+LZ29+MH29+SU29+GZ29+SG29+RI29+KU29+LE29+RO29+SN29+CS29+RC29+HO29+GI29+HU29+IA29+GC29+DM29+QC29+CE29+IS29+JI29+HF29+GO29+IY29</f>
        <v>22255457.789999999</v>
      </c>
      <c r="AP29" s="957">
        <f t="shared" si="10"/>
        <v>12543068.1</v>
      </c>
      <c r="AQ29" s="789">
        <f>[1]Субсидия_факт!HV26</f>
        <v>12543068.1</v>
      </c>
      <c r="AR29" s="770">
        <f>[1]Субсидия_факт!MR26</f>
        <v>0</v>
      </c>
      <c r="AS29" s="957">
        <f t="shared" si="11"/>
        <v>3184250.45</v>
      </c>
      <c r="AT29" s="770">
        <v>3184250.45</v>
      </c>
      <c r="AU29" s="789"/>
      <c r="AV29" s="910">
        <f t="shared" si="12"/>
        <v>0</v>
      </c>
      <c r="AW29" s="770">
        <f>[1]Субсидия_факт!MV26</f>
        <v>0</v>
      </c>
      <c r="AX29" s="1224">
        <f t="shared" si="13"/>
        <v>0</v>
      </c>
      <c r="AY29" s="770"/>
      <c r="AZ29" s="1225">
        <f t="shared" si="14"/>
        <v>0</v>
      </c>
      <c r="BA29" s="770">
        <f t="shared" si="15"/>
        <v>0</v>
      </c>
      <c r="BB29" s="783">
        <f t="shared" si="16"/>
        <v>0</v>
      </c>
      <c r="BC29" s="789">
        <f t="shared" si="17"/>
        <v>0</v>
      </c>
      <c r="BD29" s="782">
        <f t="shared" si="18"/>
        <v>0</v>
      </c>
      <c r="BE29" s="770">
        <f>[1]Субсидия_факт!MX26</f>
        <v>0</v>
      </c>
      <c r="BF29" s="802">
        <f t="shared" si="19"/>
        <v>0</v>
      </c>
      <c r="BG29" s="770"/>
      <c r="BH29" s="801">
        <f t="shared" si="20"/>
        <v>0</v>
      </c>
      <c r="BI29" s="770">
        <f>[1]Субсидия_факт!KZ26</f>
        <v>0</v>
      </c>
      <c r="BJ29" s="957">
        <f t="shared" si="21"/>
        <v>0</v>
      </c>
      <c r="BK29" s="770"/>
      <c r="BL29" s="801">
        <f t="shared" si="22"/>
        <v>0</v>
      </c>
      <c r="BM29" s="770">
        <f>[1]Субсидия_факт!LB26</f>
        <v>0</v>
      </c>
      <c r="BN29" s="957">
        <f t="shared" si="23"/>
        <v>0</v>
      </c>
      <c r="BO29" s="770"/>
      <c r="BP29" s="1235">
        <f t="shared" si="24"/>
        <v>0</v>
      </c>
      <c r="BQ29" s="783">
        <f t="shared" si="25"/>
        <v>0</v>
      </c>
      <c r="BR29" s="1252">
        <f t="shared" si="26"/>
        <v>0</v>
      </c>
      <c r="BS29" s="1235">
        <f t="shared" si="27"/>
        <v>0</v>
      </c>
      <c r="BT29" s="801">
        <f>[1]Субсидия_факт!GV26</f>
        <v>0</v>
      </c>
      <c r="BU29" s="790"/>
      <c r="BV29" s="1253">
        <f>[1]Субсидия_факт!GX26</f>
        <v>0</v>
      </c>
      <c r="BW29" s="791"/>
      <c r="BX29" s="1252">
        <f t="shared" ref="BX29:BY30" si="253">BV29-BZ29</f>
        <v>0</v>
      </c>
      <c r="BY29" s="1235">
        <f t="shared" si="253"/>
        <v>0</v>
      </c>
      <c r="BZ29" s="783">
        <f>[1]Субсидия_факт!GZ26</f>
        <v>0</v>
      </c>
      <c r="CA29" s="785"/>
      <c r="CB29" s="801">
        <f t="shared" si="29"/>
        <v>12543068.1</v>
      </c>
      <c r="CC29" s="766">
        <f>[1]Субсидия_факт!HL26</f>
        <v>12543068.1</v>
      </c>
      <c r="CD29" s="770">
        <f>[1]Субсидия_факт!HN26</f>
        <v>0</v>
      </c>
      <c r="CE29" s="957">
        <f t="shared" si="30"/>
        <v>0</v>
      </c>
      <c r="CF29" s="770"/>
      <c r="CG29" s="770"/>
      <c r="CH29" s="957">
        <f>[1]Субсидия_факт!HB26</f>
        <v>0</v>
      </c>
      <c r="CI29" s="792"/>
      <c r="CJ29" s="957">
        <f>[1]Субсидия_факт!HD26</f>
        <v>0</v>
      </c>
      <c r="CK29" s="791"/>
      <c r="CL29" s="1226">
        <f t="shared" ref="CL29:CM30" si="254">CJ29-CN29</f>
        <v>0</v>
      </c>
      <c r="CM29" s="782">
        <f t="shared" si="254"/>
        <v>0</v>
      </c>
      <c r="CN29" s="1225">
        <f>[1]Субсидия_факт!HF26</f>
        <v>0</v>
      </c>
      <c r="CO29" s="753"/>
      <c r="CP29" s="801">
        <f t="shared" si="32"/>
        <v>0</v>
      </c>
      <c r="CQ29" s="766">
        <f>[1]Субсидия_факт!HP26</f>
        <v>0</v>
      </c>
      <c r="CR29" s="770">
        <f>[1]Субсидия_факт!HR26</f>
        <v>0</v>
      </c>
      <c r="CS29" s="957">
        <f t="shared" si="33"/>
        <v>0</v>
      </c>
      <c r="CT29" s="770"/>
      <c r="CU29" s="770"/>
      <c r="CV29" s="910">
        <f t="shared" si="34"/>
        <v>0</v>
      </c>
      <c r="CW29" s="763">
        <f>[1]Субсидия_факт!LR26</f>
        <v>0</v>
      </c>
      <c r="CX29" s="762">
        <f>[1]Субсидия_факт!LT26</f>
        <v>0</v>
      </c>
      <c r="CY29" s="754">
        <f>[1]Субсидия_факт!LV26</f>
        <v>0</v>
      </c>
      <c r="CZ29" s="762">
        <f>[1]Субсидия_факт!MB26</f>
        <v>0</v>
      </c>
      <c r="DA29" s="754">
        <f>[1]Субсидия_факт!MH26</f>
        <v>0</v>
      </c>
      <c r="DB29" s="762">
        <f>[1]Субсидия_факт!MJ26</f>
        <v>0</v>
      </c>
      <c r="DC29" s="910">
        <f t="shared" si="35"/>
        <v>0</v>
      </c>
      <c r="DD29" s="755"/>
      <c r="DE29" s="762"/>
      <c r="DF29" s="754"/>
      <c r="DG29" s="762"/>
      <c r="DH29" s="754"/>
      <c r="DI29" s="762"/>
      <c r="DJ29" s="920">
        <f t="shared" si="205"/>
        <v>0</v>
      </c>
      <c r="DK29" s="763">
        <f>[1]Субсидия_факт!LX26</f>
        <v>0</v>
      </c>
      <c r="DL29" s="762">
        <f>[1]Субсидия_факт!MD26</f>
        <v>0</v>
      </c>
      <c r="DM29" s="910">
        <f t="shared" si="37"/>
        <v>0</v>
      </c>
      <c r="DN29" s="763"/>
      <c r="DO29" s="764"/>
      <c r="DP29" s="1226">
        <f t="shared" si="206"/>
        <v>0</v>
      </c>
      <c r="DQ29" s="782">
        <f t="shared" si="207"/>
        <v>0</v>
      </c>
      <c r="DR29" s="1225">
        <f t="shared" si="208"/>
        <v>0</v>
      </c>
      <c r="DS29" s="753">
        <f t="shared" si="209"/>
        <v>0</v>
      </c>
      <c r="DT29" s="957">
        <f t="shared" si="210"/>
        <v>0</v>
      </c>
      <c r="DU29" s="789">
        <f>[1]Субсидия_факт!R26</f>
        <v>0</v>
      </c>
      <c r="DV29" s="766">
        <f>[1]Субсидия_факт!T26</f>
        <v>0</v>
      </c>
      <c r="DW29" s="770">
        <f>[1]Субсидия_факт!V26</f>
        <v>0</v>
      </c>
      <c r="DX29" s="957">
        <f t="shared" si="211"/>
        <v>0</v>
      </c>
      <c r="DY29" s="770"/>
      <c r="DZ29" s="770"/>
      <c r="EA29" s="770"/>
      <c r="EB29" s="801">
        <f t="shared" si="38"/>
        <v>3148842.11</v>
      </c>
      <c r="EC29" s="766">
        <f>[1]Субсидия_факт!AX26</f>
        <v>157442.10999999987</v>
      </c>
      <c r="ED29" s="767">
        <f>[1]Субсидия_факт!AZ26</f>
        <v>2991400</v>
      </c>
      <c r="EE29" s="957">
        <f t="shared" si="250"/>
        <v>0</v>
      </c>
      <c r="EF29" s="789"/>
      <c r="EG29" s="793"/>
      <c r="EH29" s="801">
        <f t="shared" si="40"/>
        <v>0</v>
      </c>
      <c r="EI29" s="766">
        <f>[1]Субсидия_факт!X26</f>
        <v>0</v>
      </c>
      <c r="EJ29" s="767">
        <f>[1]Субсидия_факт!Z26</f>
        <v>0</v>
      </c>
      <c r="EK29" s="957">
        <f t="shared" si="41"/>
        <v>0</v>
      </c>
      <c r="EL29" s="766"/>
      <c r="EM29" s="767"/>
      <c r="EN29" s="920">
        <f t="shared" si="212"/>
        <v>0</v>
      </c>
      <c r="EO29" s="763">
        <f>[1]Субсидия_факт!AP26</f>
        <v>0</v>
      </c>
      <c r="EP29" s="763">
        <f>[1]Субсидия_факт!AL26</f>
        <v>0</v>
      </c>
      <c r="EQ29" s="764">
        <f>[1]Субсидия_факт!AN26</f>
        <v>0</v>
      </c>
      <c r="ER29" s="920">
        <f t="shared" si="42"/>
        <v>0</v>
      </c>
      <c r="ES29" s="763"/>
      <c r="ET29" s="763"/>
      <c r="EU29" s="764"/>
      <c r="EV29" s="920">
        <f t="shared" si="43"/>
        <v>0</v>
      </c>
      <c r="EW29" s="763">
        <f>[1]Субсидия_факт!HH26</f>
        <v>0</v>
      </c>
      <c r="EX29" s="762">
        <f>[1]Субсидия_факт!HJ26</f>
        <v>0</v>
      </c>
      <c r="EY29" s="910">
        <f t="shared" si="44"/>
        <v>0</v>
      </c>
      <c r="EZ29" s="763"/>
      <c r="FA29" s="762"/>
      <c r="FB29" s="920">
        <f t="shared" si="45"/>
        <v>0</v>
      </c>
      <c r="FC29" s="766">
        <f>[1]Субсидия_факт!PK26</f>
        <v>0</v>
      </c>
      <c r="FD29" s="767">
        <f>[1]Субсидия_факт!PQ26</f>
        <v>0</v>
      </c>
      <c r="FE29" s="910">
        <f t="shared" si="46"/>
        <v>0</v>
      </c>
      <c r="FF29" s="763"/>
      <c r="FG29" s="764"/>
      <c r="FH29" s="920">
        <f t="shared" si="47"/>
        <v>0</v>
      </c>
      <c r="FI29" s="763">
        <f>[1]Субсидия_факт!PM26</f>
        <v>0</v>
      </c>
      <c r="FJ29" s="762">
        <f>[1]Субсидия_факт!PS26</f>
        <v>0</v>
      </c>
      <c r="FK29" s="910">
        <f t="shared" si="48"/>
        <v>0</v>
      </c>
      <c r="FL29" s="763"/>
      <c r="FM29" s="764"/>
      <c r="FN29" s="1233">
        <f t="shared" si="49"/>
        <v>0</v>
      </c>
      <c r="FO29" s="763">
        <f t="shared" ref="FO29:FP30" si="255">FI29-FU29</f>
        <v>0</v>
      </c>
      <c r="FP29" s="762">
        <f t="shared" si="255"/>
        <v>0</v>
      </c>
      <c r="FQ29" s="782">
        <f t="shared" si="51"/>
        <v>0</v>
      </c>
      <c r="FR29" s="763">
        <f t="shared" ref="FR29:FS30" si="256">FL29-FX29</f>
        <v>0</v>
      </c>
      <c r="FS29" s="762">
        <f t="shared" si="256"/>
        <v>0</v>
      </c>
      <c r="FT29" s="1233">
        <f t="shared" si="53"/>
        <v>0</v>
      </c>
      <c r="FU29" s="763">
        <f>[1]Субсидия_факт!PO26</f>
        <v>0</v>
      </c>
      <c r="FV29" s="762">
        <f>[1]Субсидия_факт!PU26</f>
        <v>0</v>
      </c>
      <c r="FW29" s="782">
        <f t="shared" si="54"/>
        <v>0</v>
      </c>
      <c r="FX29" s="763"/>
      <c r="FY29" s="764"/>
      <c r="FZ29" s="920">
        <f t="shared" si="55"/>
        <v>0</v>
      </c>
      <c r="GA29" s="766">
        <f>[1]Субсидия_факт!EP26</f>
        <v>0</v>
      </c>
      <c r="GB29" s="767">
        <f>[1]Субсидия_факт!ER26</f>
        <v>0</v>
      </c>
      <c r="GC29" s="919">
        <f t="shared" si="56"/>
        <v>0</v>
      </c>
      <c r="GD29" s="766"/>
      <c r="GE29" s="767"/>
      <c r="GF29" s="920">
        <f t="shared" si="57"/>
        <v>0</v>
      </c>
      <c r="GG29" s="766">
        <f>[1]Субсидия_факт!JN26</f>
        <v>0</v>
      </c>
      <c r="GH29" s="767">
        <f>[1]Субсидия_факт!JP26</f>
        <v>0</v>
      </c>
      <c r="GI29" s="920">
        <f t="shared" si="58"/>
        <v>0</v>
      </c>
      <c r="GJ29" s="766"/>
      <c r="GK29" s="767"/>
      <c r="GL29" s="1233">
        <f t="shared" si="59"/>
        <v>0</v>
      </c>
      <c r="GM29" s="763">
        <f>[1]Субсидия_факт!JR26</f>
        <v>0</v>
      </c>
      <c r="GN29" s="764">
        <f>[1]Субсидия_факт!JV26</f>
        <v>0</v>
      </c>
      <c r="GO29" s="1233">
        <f t="shared" si="60"/>
        <v>0</v>
      </c>
      <c r="GP29" s="766"/>
      <c r="GQ29" s="793"/>
      <c r="GR29" s="1235">
        <f t="shared" si="213"/>
        <v>0</v>
      </c>
      <c r="GS29" s="783">
        <f t="shared" si="214"/>
        <v>0</v>
      </c>
      <c r="GT29" s="1252">
        <f t="shared" si="215"/>
        <v>0</v>
      </c>
      <c r="GU29" s="783">
        <f t="shared" si="216"/>
        <v>0</v>
      </c>
      <c r="GV29" s="1234">
        <f t="shared" si="61"/>
        <v>0</v>
      </c>
      <c r="GW29" s="766">
        <f>[1]Субсидия_факт!KL26</f>
        <v>0</v>
      </c>
      <c r="GX29" s="767">
        <f>[1]Субсидия_факт!KN26</f>
        <v>0</v>
      </c>
      <c r="GY29" s="766">
        <f>[1]Субсидия_факт!KP26</f>
        <v>0</v>
      </c>
      <c r="GZ29" s="801">
        <f t="shared" si="62"/>
        <v>0</v>
      </c>
      <c r="HA29" s="766"/>
      <c r="HB29" s="767"/>
      <c r="HC29" s="770"/>
      <c r="HD29" s="1235">
        <f t="shared" si="217"/>
        <v>0</v>
      </c>
      <c r="HE29" s="766">
        <f>[1]Субсидия_факт!KR26</f>
        <v>0</v>
      </c>
      <c r="HF29" s="1235">
        <f t="shared" si="217"/>
        <v>0</v>
      </c>
      <c r="HG29" s="770"/>
      <c r="HH29" s="1235">
        <f t="shared" si="218"/>
        <v>0</v>
      </c>
      <c r="HI29" s="1235">
        <f t="shared" si="219"/>
        <v>0</v>
      </c>
      <c r="HJ29" s="1235">
        <f t="shared" si="220"/>
        <v>0</v>
      </c>
      <c r="HK29" s="1235">
        <f t="shared" si="221"/>
        <v>0</v>
      </c>
      <c r="HL29" s="920">
        <f t="shared" si="63"/>
        <v>0</v>
      </c>
      <c r="HM29" s="766">
        <f>[1]Субсидия_факт!KV26</f>
        <v>0</v>
      </c>
      <c r="HN29" s="767">
        <f>[1]Субсидия_факт!KX26</f>
        <v>0</v>
      </c>
      <c r="HO29" s="910">
        <f t="shared" si="64"/>
        <v>0</v>
      </c>
      <c r="HP29" s="766"/>
      <c r="HQ29" s="767"/>
      <c r="HR29" s="920">
        <f t="shared" si="65"/>
        <v>0</v>
      </c>
      <c r="HS29" s="766"/>
      <c r="HT29" s="767"/>
      <c r="HU29" s="910">
        <f t="shared" si="66"/>
        <v>0</v>
      </c>
      <c r="HV29" s="766"/>
      <c r="HW29" s="767"/>
      <c r="HX29" s="920">
        <f t="shared" si="67"/>
        <v>0</v>
      </c>
      <c r="HY29" s="766">
        <f>[1]Субсидия_факт!FV26</f>
        <v>0</v>
      </c>
      <c r="HZ29" s="767">
        <f>[1]Субсидия_факт!FZ26</f>
        <v>0</v>
      </c>
      <c r="IA29" s="910">
        <f t="shared" si="68"/>
        <v>0</v>
      </c>
      <c r="IB29" s="766"/>
      <c r="IC29" s="767"/>
      <c r="ID29" s="1233">
        <f t="shared" si="69"/>
        <v>0</v>
      </c>
      <c r="IE29" s="763">
        <f t="shared" ref="IE29:IF30" si="257">HY29-IK29</f>
        <v>0</v>
      </c>
      <c r="IF29" s="762">
        <f t="shared" si="257"/>
        <v>0</v>
      </c>
      <c r="IG29" s="782">
        <f t="shared" si="71"/>
        <v>0</v>
      </c>
      <c r="IH29" s="763">
        <f t="shared" ref="IH29:II30" si="258">IB29-IN29</f>
        <v>0</v>
      </c>
      <c r="II29" s="762">
        <f t="shared" si="258"/>
        <v>0</v>
      </c>
      <c r="IJ29" s="1233">
        <f t="shared" si="73"/>
        <v>0</v>
      </c>
      <c r="IK29" s="763">
        <f>[1]Субсидия_факт!FX26</f>
        <v>0</v>
      </c>
      <c r="IL29" s="762">
        <f>[1]Субсидия_факт!GB26</f>
        <v>0</v>
      </c>
      <c r="IM29" s="782">
        <f t="shared" si="74"/>
        <v>0</v>
      </c>
      <c r="IN29" s="763">
        <f t="shared" si="188"/>
        <v>0</v>
      </c>
      <c r="IO29" s="764">
        <f t="shared" si="189"/>
        <v>0</v>
      </c>
      <c r="IP29" s="920">
        <f t="shared" si="75"/>
        <v>0</v>
      </c>
      <c r="IQ29" s="763">
        <f>[1]Субсидия_факт!ED26</f>
        <v>0</v>
      </c>
      <c r="IR29" s="764">
        <f>[1]Субсидия_факт!EF26</f>
        <v>0</v>
      </c>
      <c r="IS29" s="910">
        <f t="shared" si="76"/>
        <v>0</v>
      </c>
      <c r="IT29" s="766"/>
      <c r="IU29" s="767"/>
      <c r="IV29" s="1272">
        <f t="shared" si="77"/>
        <v>0</v>
      </c>
      <c r="IW29" s="763">
        <f>[1]Субсидия_факт!EH26</f>
        <v>0</v>
      </c>
      <c r="IX29" s="764">
        <f>[1]Субсидия_факт!EL26</f>
        <v>0</v>
      </c>
      <c r="IY29" s="1237">
        <f t="shared" si="78"/>
        <v>0</v>
      </c>
      <c r="IZ29" s="766"/>
      <c r="JA29" s="793"/>
      <c r="JB29" s="1235">
        <f t="shared" si="222"/>
        <v>0</v>
      </c>
      <c r="JC29" s="1235">
        <f t="shared" si="223"/>
        <v>0</v>
      </c>
      <c r="JD29" s="1235">
        <f t="shared" si="224"/>
        <v>0</v>
      </c>
      <c r="JE29" s="783">
        <f t="shared" si="225"/>
        <v>0</v>
      </c>
      <c r="JF29" s="919">
        <f t="shared" si="79"/>
        <v>0</v>
      </c>
      <c r="JG29" s="763">
        <f>[1]Субсидия_факт!BX26</f>
        <v>0</v>
      </c>
      <c r="JH29" s="764">
        <f>[1]Субсидия_факт!BZ26</f>
        <v>0</v>
      </c>
      <c r="JI29" s="910">
        <f t="shared" si="80"/>
        <v>0</v>
      </c>
      <c r="JJ29" s="766"/>
      <c r="JK29" s="767"/>
      <c r="JL29" s="920">
        <f t="shared" si="81"/>
        <v>0</v>
      </c>
      <c r="JM29" s="766">
        <f>[1]Субсидия_факт!ET26</f>
        <v>0</v>
      </c>
      <c r="JN29" s="767">
        <f>[1]Субсидия_факт!EV26</f>
        <v>0</v>
      </c>
      <c r="JO29" s="910">
        <f t="shared" si="82"/>
        <v>0</v>
      </c>
      <c r="JP29" s="766"/>
      <c r="JQ29" s="767"/>
      <c r="JR29" s="910">
        <f t="shared" si="83"/>
        <v>0</v>
      </c>
      <c r="JS29" s="763">
        <f>[1]Субсидия_факт!EX26</f>
        <v>0</v>
      </c>
      <c r="JT29" s="762">
        <f>[1]Субсидия_факт!FD26</f>
        <v>0</v>
      </c>
      <c r="JU29" s="910">
        <f t="shared" si="84"/>
        <v>0</v>
      </c>
      <c r="JV29" s="763"/>
      <c r="JW29" s="764"/>
      <c r="JX29" s="910">
        <f t="shared" si="85"/>
        <v>0</v>
      </c>
      <c r="JY29" s="763">
        <f>[1]Субсидия_факт!EZ26</f>
        <v>0</v>
      </c>
      <c r="JZ29" s="764">
        <f>[1]Субсидия_факт!FF26</f>
        <v>0</v>
      </c>
      <c r="KA29" s="910">
        <f t="shared" si="86"/>
        <v>0</v>
      </c>
      <c r="KB29" s="754"/>
      <c r="KC29" s="768"/>
      <c r="KD29" s="782">
        <f t="shared" si="87"/>
        <v>-106122.61</v>
      </c>
      <c r="KE29" s="755">
        <f>'Проверочная  таблица'!JY29-'Проверочная  таблица'!KK29</f>
        <v>-27591.880000000005</v>
      </c>
      <c r="KF29" s="764">
        <f>'Проверочная  таблица'!JZ29-'Проверочная  таблица'!KL29</f>
        <v>-78530.73</v>
      </c>
      <c r="KG29" s="1225">
        <f t="shared" si="88"/>
        <v>0</v>
      </c>
      <c r="KH29" s="754">
        <f>'Проверочная  таблица'!KB29-'Проверочная  таблица'!KN29</f>
        <v>0</v>
      </c>
      <c r="KI29" s="771">
        <f>'Проверочная  таблица'!KC29-'Проверочная  таблица'!KO29</f>
        <v>0</v>
      </c>
      <c r="KJ29" s="782">
        <f t="shared" si="89"/>
        <v>106122.61</v>
      </c>
      <c r="KK29" s="763">
        <f>[1]Субсидия_факт!FB26</f>
        <v>27591.880000000005</v>
      </c>
      <c r="KL29" s="762">
        <f>[1]Субсидия_факт!FH26</f>
        <v>78530.73</v>
      </c>
      <c r="KM29" s="782">
        <f t="shared" si="251"/>
        <v>0</v>
      </c>
      <c r="KN29" s="763"/>
      <c r="KO29" s="764"/>
      <c r="KP29" s="1217">
        <f t="shared" si="226"/>
        <v>742028.78</v>
      </c>
      <c r="KQ29" s="754">
        <f>[1]Субсидия_факт!OD26</f>
        <v>228140</v>
      </c>
      <c r="KR29" s="764">
        <f>[1]Субсидия_факт!OJ26</f>
        <v>377128.78</v>
      </c>
      <c r="KS29" s="754">
        <f>[1]Субсидия_факт!OR26</f>
        <v>49718.78</v>
      </c>
      <c r="KT29" s="764">
        <f>[1]Субсидия_факт!OT26</f>
        <v>87041.22</v>
      </c>
      <c r="KU29" s="1217">
        <f t="shared" si="91"/>
        <v>0</v>
      </c>
      <c r="KV29" s="754"/>
      <c r="KW29" s="764"/>
      <c r="KX29" s="754"/>
      <c r="KY29" s="764"/>
      <c r="KZ29" s="1217">
        <f t="shared" si="227"/>
        <v>49490</v>
      </c>
      <c r="LA29" s="789">
        <f>[1]Субсидия_факт!OF26</f>
        <v>49490</v>
      </c>
      <c r="LB29" s="767">
        <f>[1]Субсидия_факт!OL26</f>
        <v>0</v>
      </c>
      <c r="LC29" s="789"/>
      <c r="LD29" s="767"/>
      <c r="LE29" s="1217">
        <f t="shared" si="92"/>
        <v>0</v>
      </c>
      <c r="LF29" s="754"/>
      <c r="LG29" s="764"/>
      <c r="LH29" s="754"/>
      <c r="LI29" s="764"/>
      <c r="LJ29" s="1219">
        <f t="shared" si="93"/>
        <v>-37780</v>
      </c>
      <c r="LK29" s="789">
        <f t="shared" ref="LK29:LL30" si="259">LA29-LQ29</f>
        <v>-37780</v>
      </c>
      <c r="LL29" s="767">
        <f t="shared" si="259"/>
        <v>0</v>
      </c>
      <c r="LM29" s="1219">
        <f t="shared" si="95"/>
        <v>0</v>
      </c>
      <c r="LN29" s="789">
        <f t="shared" ref="LN29:LO30" si="260">LF29-LT29</f>
        <v>0</v>
      </c>
      <c r="LO29" s="767">
        <f t="shared" si="260"/>
        <v>0</v>
      </c>
      <c r="LP29" s="1219">
        <f t="shared" si="97"/>
        <v>87270</v>
      </c>
      <c r="LQ29" s="763">
        <f>[1]Субсидия_факт!OH26</f>
        <v>87270</v>
      </c>
      <c r="LR29" s="762">
        <f>[1]Субсидия_факт!ON26</f>
        <v>0</v>
      </c>
      <c r="LS29" s="1219">
        <f t="shared" si="98"/>
        <v>0</v>
      </c>
      <c r="LT29" s="755"/>
      <c r="LU29" s="764"/>
      <c r="LV29" s="957">
        <f t="shared" si="228"/>
        <v>0</v>
      </c>
      <c r="LW29" s="769">
        <f>[1]Субсидия_факт!DP26</f>
        <v>0</v>
      </c>
      <c r="LX29" s="754">
        <f>[1]Субсидия_факт!CB26</f>
        <v>0</v>
      </c>
      <c r="LY29" s="764">
        <f>[1]Субсидия_факт!CH26</f>
        <v>0</v>
      </c>
      <c r="LZ29" s="957">
        <f t="shared" si="99"/>
        <v>0</v>
      </c>
      <c r="MA29" s="769"/>
      <c r="MB29" s="754"/>
      <c r="MC29" s="764"/>
      <c r="MD29" s="957">
        <f t="shared" si="229"/>
        <v>0</v>
      </c>
      <c r="ME29" s="769">
        <f>[1]Субсидия_факт!DR26</f>
        <v>0</v>
      </c>
      <c r="MF29" s="754">
        <f>[1]Субсидия_факт!CD26</f>
        <v>0</v>
      </c>
      <c r="MG29" s="764">
        <f>[1]Субсидия_факт!CJ26</f>
        <v>0</v>
      </c>
      <c r="MH29" s="957">
        <f t="shared" si="100"/>
        <v>0</v>
      </c>
      <c r="MI29" s="769"/>
      <c r="MJ29" s="754"/>
      <c r="MK29" s="762"/>
      <c r="ML29" s="783">
        <f t="shared" si="101"/>
        <v>0</v>
      </c>
      <c r="MM29" s="766">
        <f>'Проверочная  таблица'!ME29-MU29</f>
        <v>0</v>
      </c>
      <c r="MN29" s="766">
        <f>'Проверочная  таблица'!MF29-MV29</f>
        <v>0</v>
      </c>
      <c r="MO29" s="767">
        <f>'Проверочная  таблица'!MG29-MW29</f>
        <v>0</v>
      </c>
      <c r="MP29" s="783">
        <f t="shared" si="102"/>
        <v>0</v>
      </c>
      <c r="MQ29" s="766">
        <f>'Проверочная  таблица'!MI29-MY29</f>
        <v>0</v>
      </c>
      <c r="MR29" s="766">
        <f>'Проверочная  таблица'!MJ29-MZ29</f>
        <v>0</v>
      </c>
      <c r="MS29" s="767">
        <f>'Проверочная  таблица'!MK29-NA29</f>
        <v>0</v>
      </c>
      <c r="MT29" s="783">
        <f t="shared" si="103"/>
        <v>0</v>
      </c>
      <c r="MU29" s="754">
        <f>[1]Субсидия_факт!DT26</f>
        <v>0</v>
      </c>
      <c r="MV29" s="754">
        <f>[1]Субсидия_факт!CF26</f>
        <v>0</v>
      </c>
      <c r="MW29" s="764">
        <f>[1]Субсидия_факт!CL26</f>
        <v>0</v>
      </c>
      <c r="MX29" s="783">
        <f t="shared" si="104"/>
        <v>0</v>
      </c>
      <c r="MY29" s="754"/>
      <c r="MZ29" s="754"/>
      <c r="NA29" s="764"/>
      <c r="NB29" s="1224">
        <f t="shared" si="230"/>
        <v>106122.61</v>
      </c>
      <c r="NC29" s="754">
        <f>[1]Субсидия_факт!CN26</f>
        <v>0</v>
      </c>
      <c r="ND29" s="762">
        <f>[1]Субсидия_факт!CP26</f>
        <v>0</v>
      </c>
      <c r="NE29" s="766">
        <f>[1]Субсидия_факт!CR26</f>
        <v>0</v>
      </c>
      <c r="NF29" s="767">
        <f>[1]Субсидия_факт!CT26</f>
        <v>0</v>
      </c>
      <c r="NG29" s="755">
        <f>[1]Субсидия_факт!DV26</f>
        <v>0</v>
      </c>
      <c r="NH29" s="763">
        <f>[1]Субсидия_факт!FJ26</f>
        <v>27591.880000000005</v>
      </c>
      <c r="NI29" s="762">
        <f>[1]Субсидия_факт!FP26</f>
        <v>78530.73</v>
      </c>
      <c r="NJ29" s="910">
        <f t="shared" si="105"/>
        <v>106122.61</v>
      </c>
      <c r="NK29" s="754"/>
      <c r="NL29" s="764"/>
      <c r="NM29" s="754"/>
      <c r="NN29" s="768"/>
      <c r="NO29" s="754"/>
      <c r="NP29" s="754">
        <f>NH29</f>
        <v>27591.880000000005</v>
      </c>
      <c r="NQ29" s="764">
        <f t="shared" ref="NQ29" si="261">NI29</f>
        <v>78530.73</v>
      </c>
      <c r="NR29" s="910">
        <f t="shared" si="231"/>
        <v>0</v>
      </c>
      <c r="NS29" s="763">
        <f>[1]Субсидия_факт!FL26</f>
        <v>0</v>
      </c>
      <c r="NT29" s="762">
        <f>[1]Субсидия_факт!FR26</f>
        <v>0</v>
      </c>
      <c r="NU29" s="910">
        <f t="shared" si="106"/>
        <v>0</v>
      </c>
      <c r="NV29" s="755"/>
      <c r="NW29" s="764"/>
      <c r="NX29" s="782">
        <f t="shared" si="107"/>
        <v>0</v>
      </c>
      <c r="NY29" s="763">
        <f>'Проверочная  таблица'!NS29-OE29</f>
        <v>0</v>
      </c>
      <c r="NZ29" s="764">
        <f>'Проверочная  таблица'!NT29-OF29</f>
        <v>0</v>
      </c>
      <c r="OA29" s="782">
        <f t="shared" si="108"/>
        <v>0</v>
      </c>
      <c r="OB29" s="754">
        <f>'Проверочная  таблица'!NV29-OH29</f>
        <v>0</v>
      </c>
      <c r="OC29" s="771">
        <f>'Проверочная  таблица'!NW29-OI29</f>
        <v>0</v>
      </c>
      <c r="OD29" s="782">
        <f t="shared" si="232"/>
        <v>0</v>
      </c>
      <c r="OE29" s="763">
        <f>[1]Субсидия_факт!FN26</f>
        <v>0</v>
      </c>
      <c r="OF29" s="762">
        <f>[1]Субсидия_факт!FT26</f>
        <v>0</v>
      </c>
      <c r="OG29" s="782">
        <f t="shared" si="252"/>
        <v>0</v>
      </c>
      <c r="OH29" s="754"/>
      <c r="OI29" s="764"/>
      <c r="OJ29" s="919">
        <f t="shared" si="233"/>
        <v>0</v>
      </c>
      <c r="OK29" s="763">
        <f>[1]Субсидия_факт!AR26</f>
        <v>0</v>
      </c>
      <c r="OL29" s="762">
        <f>[1]Субсидия_факт!AT26</f>
        <v>0</v>
      </c>
      <c r="OM29" s="763">
        <f>[1]Субсидия_факт!AV26</f>
        <v>0</v>
      </c>
      <c r="ON29" s="957">
        <f t="shared" si="110"/>
        <v>0</v>
      </c>
      <c r="OO29" s="770"/>
      <c r="OP29" s="767"/>
      <c r="OQ29" s="770"/>
      <c r="OR29" s="1238">
        <f t="shared" si="111"/>
        <v>8429823.2200000007</v>
      </c>
      <c r="OS29" s="763">
        <f>[1]Субсидия_факт!GD26</f>
        <v>0</v>
      </c>
      <c r="OT29" s="762">
        <f>[1]Субсидия_факт!GJ26</f>
        <v>8429823.2200000007</v>
      </c>
      <c r="OU29" s="770">
        <f>[1]Субсидия_факт!GP26</f>
        <v>0</v>
      </c>
      <c r="OV29" s="1238">
        <f t="shared" si="112"/>
        <v>0</v>
      </c>
      <c r="OW29" s="755"/>
      <c r="OX29" s="764"/>
      <c r="OY29" s="754"/>
      <c r="OZ29" s="1217">
        <f t="shared" si="234"/>
        <v>8429823.2200000007</v>
      </c>
      <c r="PA29" s="763">
        <f>[1]Субсидия_факт!GF26</f>
        <v>0</v>
      </c>
      <c r="PB29" s="762">
        <f>[1]Субсидия_факт!GL26</f>
        <v>0</v>
      </c>
      <c r="PC29" s="754">
        <f>[1]Субсидия_факт!GR26</f>
        <v>8429823.2200000007</v>
      </c>
      <c r="PD29" s="1217">
        <f t="shared" si="113"/>
        <v>5721416.9500000002</v>
      </c>
      <c r="PE29" s="754"/>
      <c r="PF29" s="771"/>
      <c r="PG29" s="754">
        <f>1365189.02+863160.61+2735717.7+757349.62</f>
        <v>5721416.9500000002</v>
      </c>
      <c r="PH29" s="1219">
        <f t="shared" si="114"/>
        <v>8429823.2200000007</v>
      </c>
      <c r="PI29" s="789">
        <f>'Проверочная  таблица'!PA29-PQ29</f>
        <v>0</v>
      </c>
      <c r="PJ29" s="767">
        <f>'Проверочная  таблица'!PB29-PR29</f>
        <v>0</v>
      </c>
      <c r="PK29" s="770">
        <f>'Проверочная  таблица'!PC29-PS29</f>
        <v>8429823.2200000007</v>
      </c>
      <c r="PL29" s="1219">
        <f t="shared" si="235"/>
        <v>5721416.9500000002</v>
      </c>
      <c r="PM29" s="755">
        <f>'Проверочная  таблица'!PE29-PU29</f>
        <v>0</v>
      </c>
      <c r="PN29" s="764">
        <f>'Проверочная  таблица'!PF29-PV29</f>
        <v>0</v>
      </c>
      <c r="PO29" s="754">
        <f>'Проверочная  таблица'!PG29-PW29</f>
        <v>5721416.9500000002</v>
      </c>
      <c r="PP29" s="1219">
        <f t="shared" si="115"/>
        <v>0</v>
      </c>
      <c r="PQ29" s="763">
        <f>[1]Субсидия_факт!GH26</f>
        <v>0</v>
      </c>
      <c r="PR29" s="762">
        <f>[1]Субсидия_факт!GN26</f>
        <v>0</v>
      </c>
      <c r="PS29" s="763">
        <f>[1]Субсидия_факт!GT26</f>
        <v>0</v>
      </c>
      <c r="PT29" s="1219">
        <f t="shared" si="116"/>
        <v>0</v>
      </c>
      <c r="PU29" s="755">
        <f t="shared" si="193"/>
        <v>0</v>
      </c>
      <c r="PV29" s="764">
        <f t="shared" si="194"/>
        <v>0</v>
      </c>
      <c r="PW29" s="763"/>
      <c r="PX29" s="910">
        <f t="shared" si="195"/>
        <v>0</v>
      </c>
      <c r="PY29" s="766">
        <f>[1]Субсидия_факт!JB26</f>
        <v>0</v>
      </c>
      <c r="PZ29" s="767">
        <f>[1]Субсидия_факт!JH26</f>
        <v>0</v>
      </c>
      <c r="QA29" s="766"/>
      <c r="QB29" s="767"/>
      <c r="QC29" s="910">
        <f t="shared" si="196"/>
        <v>0</v>
      </c>
      <c r="QD29" s="770"/>
      <c r="QE29" s="794"/>
      <c r="QF29" s="770"/>
      <c r="QG29" s="794"/>
      <c r="QH29" s="957">
        <f t="shared" si="117"/>
        <v>0</v>
      </c>
      <c r="QI29" s="766">
        <f>[1]Субсидия_факт!JD26</f>
        <v>0</v>
      </c>
      <c r="QJ29" s="767">
        <f>[1]Субсидия_факт!JJ26</f>
        <v>0</v>
      </c>
      <c r="QK29" s="1253">
        <f t="shared" si="118"/>
        <v>0</v>
      </c>
      <c r="QL29" s="770"/>
      <c r="QM29" s="794"/>
      <c r="QN29" s="783">
        <f t="shared" si="236"/>
        <v>0</v>
      </c>
      <c r="QO29" s="770">
        <f t="shared" ref="QO29:QP30" si="262">QI29-QU29</f>
        <v>0</v>
      </c>
      <c r="QP29" s="767">
        <f t="shared" si="262"/>
        <v>0</v>
      </c>
      <c r="QQ29" s="1235">
        <f t="shared" si="120"/>
        <v>0</v>
      </c>
      <c r="QR29" s="766">
        <f t="shared" ref="QR29:QS30" si="263">QL29-QX29</f>
        <v>0</v>
      </c>
      <c r="QS29" s="767">
        <f t="shared" si="263"/>
        <v>0</v>
      </c>
      <c r="QT29" s="1235">
        <f t="shared" si="122"/>
        <v>0</v>
      </c>
      <c r="QU29" s="766">
        <f>[1]Субсидия_факт!JF26</f>
        <v>0</v>
      </c>
      <c r="QV29" s="767">
        <f>[1]Субсидия_факт!JL26</f>
        <v>0</v>
      </c>
      <c r="QW29" s="783">
        <f t="shared" si="237"/>
        <v>0</v>
      </c>
      <c r="QX29" s="770"/>
      <c r="QY29" s="794"/>
      <c r="QZ29" s="920">
        <f t="shared" si="123"/>
        <v>0</v>
      </c>
      <c r="RA29" s="766">
        <f>[1]Субсидия_факт!CV26</f>
        <v>0</v>
      </c>
      <c r="RB29" s="767">
        <f>[1]Субсидия_факт!CX26</f>
        <v>0</v>
      </c>
      <c r="RC29" s="910">
        <f t="shared" si="124"/>
        <v>0</v>
      </c>
      <c r="RD29" s="766"/>
      <c r="RE29" s="767"/>
      <c r="RF29" s="920">
        <f t="shared" si="125"/>
        <v>0</v>
      </c>
      <c r="RG29" s="766">
        <f>[1]Субсидия_факт!CZ26</f>
        <v>0</v>
      </c>
      <c r="RH29" s="767">
        <f>[1]Субсидия_факт!DF26</f>
        <v>0</v>
      </c>
      <c r="RI29" s="910">
        <f t="shared" si="126"/>
        <v>0</v>
      </c>
      <c r="RJ29" s="766"/>
      <c r="RK29" s="767"/>
      <c r="RL29" s="920">
        <f t="shared" si="127"/>
        <v>0</v>
      </c>
      <c r="RM29" s="766">
        <f>[1]Субсидия_факт!DB26</f>
        <v>0</v>
      </c>
      <c r="RN29" s="767">
        <f>[1]Субсидия_факт!DH26</f>
        <v>0</v>
      </c>
      <c r="RO29" s="910">
        <f t="shared" si="128"/>
        <v>0</v>
      </c>
      <c r="RP29" s="766"/>
      <c r="RQ29" s="767"/>
      <c r="RR29" s="1233">
        <f t="shared" si="129"/>
        <v>0</v>
      </c>
      <c r="RS29" s="766">
        <f t="shared" ref="RS29:RT30" si="264">RM29-RY29</f>
        <v>0</v>
      </c>
      <c r="RT29" s="767">
        <f t="shared" si="264"/>
        <v>0</v>
      </c>
      <c r="RU29" s="782">
        <f t="shared" si="131"/>
        <v>0</v>
      </c>
      <c r="RV29" s="766">
        <f t="shared" ref="RV29:RW30" si="265">RP29-SB29</f>
        <v>0</v>
      </c>
      <c r="RW29" s="767">
        <f t="shared" si="265"/>
        <v>0</v>
      </c>
      <c r="RX29" s="1233">
        <f t="shared" si="133"/>
        <v>0</v>
      </c>
      <c r="RY29" s="766">
        <f>[1]Субсидия_факт!DD26</f>
        <v>0</v>
      </c>
      <c r="RZ29" s="767">
        <f>[1]Субсидия_факт!DJ26</f>
        <v>0</v>
      </c>
      <c r="SA29" s="782">
        <f t="shared" si="134"/>
        <v>0</v>
      </c>
      <c r="SB29" s="766"/>
      <c r="SC29" s="767"/>
      <c r="SD29" s="801">
        <f t="shared" si="135"/>
        <v>0</v>
      </c>
      <c r="SE29" s="766">
        <f>[1]Субсидия_факт!DL26</f>
        <v>0</v>
      </c>
      <c r="SF29" s="767">
        <f>[1]Субсидия_факт!DN26</f>
        <v>0</v>
      </c>
      <c r="SG29" s="1253">
        <f t="shared" si="136"/>
        <v>0</v>
      </c>
      <c r="SH29" s="789"/>
      <c r="SI29" s="793"/>
      <c r="SJ29" s="957">
        <f t="shared" si="238"/>
        <v>0</v>
      </c>
      <c r="SK29" s="763">
        <f>[1]Субсидия_факт!BJ26</f>
        <v>0</v>
      </c>
      <c r="SL29" s="766">
        <f>[1]Субсидия_факт!BF26</f>
        <v>0</v>
      </c>
      <c r="SM29" s="793">
        <f>[1]Субсидия_факт!BH26</f>
        <v>0</v>
      </c>
      <c r="SN29" s="957">
        <f t="shared" si="137"/>
        <v>0</v>
      </c>
      <c r="SO29" s="795"/>
      <c r="SP29" s="789"/>
      <c r="SQ29" s="793"/>
      <c r="SR29" s="801">
        <f t="shared" si="138"/>
        <v>0</v>
      </c>
      <c r="SS29" s="766">
        <f>[1]Субсидия_факт!AD26</f>
        <v>0</v>
      </c>
      <c r="ST29" s="767">
        <f>[1]Субсидия_факт!AF26</f>
        <v>0</v>
      </c>
      <c r="SU29" s="957">
        <f t="shared" si="139"/>
        <v>0</v>
      </c>
      <c r="SV29" s="789"/>
      <c r="SW29" s="793"/>
      <c r="SX29" s="801">
        <f t="shared" si="239"/>
        <v>0</v>
      </c>
      <c r="SY29" s="766">
        <f>[1]Субсидия_факт!ID26</f>
        <v>0</v>
      </c>
      <c r="SZ29" s="767">
        <f>[1]Субсидия_факт!IJ26</f>
        <v>0</v>
      </c>
      <c r="TA29" s="789">
        <f>[1]Субсидия_факт!IP26</f>
        <v>0</v>
      </c>
      <c r="TB29" s="767">
        <f>[1]Субсидия_факт!IV26</f>
        <v>0</v>
      </c>
      <c r="TC29" s="1028">
        <f>[1]Субсидия_факт!JZ26</f>
        <v>0</v>
      </c>
      <c r="TD29" s="793">
        <f>[1]Субсидия_факт!KF26</f>
        <v>0</v>
      </c>
      <c r="TE29" s="957">
        <f t="shared" si="140"/>
        <v>0</v>
      </c>
      <c r="TF29" s="1162"/>
      <c r="TG29" s="794"/>
      <c r="TH29" s="1162"/>
      <c r="TI29" s="794"/>
      <c r="TJ29" s="1028"/>
      <c r="TK29" s="793"/>
      <c r="TL29" s="801">
        <f t="shared" si="141"/>
        <v>0</v>
      </c>
      <c r="TM29" s="766">
        <f>[1]Субсидия_факт!IF26</f>
        <v>0</v>
      </c>
      <c r="TN29" s="767">
        <f>[1]Субсидия_факт!IL26</f>
        <v>0</v>
      </c>
      <c r="TO29" s="789">
        <f>[1]Субсидия_факт!IR26</f>
        <v>0</v>
      </c>
      <c r="TP29" s="767">
        <f>[1]Субсидия_факт!IX26</f>
        <v>0</v>
      </c>
      <c r="TQ29" s="789">
        <f>[1]Субсидия_факт!KB26</f>
        <v>0</v>
      </c>
      <c r="TR29" s="767">
        <f>[1]Субсидия_факт!KH26</f>
        <v>0</v>
      </c>
      <c r="TS29" s="957">
        <f t="shared" si="142"/>
        <v>0</v>
      </c>
      <c r="TT29" s="770"/>
      <c r="TU29" s="794"/>
      <c r="TV29" s="1028"/>
      <c r="TW29" s="794"/>
      <c r="TX29" s="770"/>
      <c r="TY29" s="794"/>
      <c r="TZ29" s="783">
        <f t="shared" si="143"/>
        <v>0</v>
      </c>
      <c r="UA29" s="766">
        <f t="shared" ref="UA29:UF30" si="266">TM29-UO29</f>
        <v>0</v>
      </c>
      <c r="UB29" s="767">
        <f t="shared" si="266"/>
        <v>0</v>
      </c>
      <c r="UC29" s="766">
        <f t="shared" si="266"/>
        <v>0</v>
      </c>
      <c r="UD29" s="767">
        <f t="shared" si="266"/>
        <v>0</v>
      </c>
      <c r="UE29" s="789">
        <f t="shared" si="266"/>
        <v>0</v>
      </c>
      <c r="UF29" s="767">
        <f t="shared" si="266"/>
        <v>0</v>
      </c>
      <c r="UG29" s="783">
        <f t="shared" si="145"/>
        <v>0</v>
      </c>
      <c r="UH29" s="766">
        <f t="shared" ref="UH29:UM30" si="267">TT29-UV29</f>
        <v>0</v>
      </c>
      <c r="UI29" s="767">
        <f t="shared" si="267"/>
        <v>0</v>
      </c>
      <c r="UJ29" s="766">
        <f t="shared" si="267"/>
        <v>0</v>
      </c>
      <c r="UK29" s="767">
        <f t="shared" si="267"/>
        <v>0</v>
      </c>
      <c r="UL29" s="789">
        <f t="shared" si="267"/>
        <v>0</v>
      </c>
      <c r="UM29" s="767">
        <f t="shared" si="267"/>
        <v>0</v>
      </c>
      <c r="UN29" s="1235">
        <f t="shared" si="147"/>
        <v>0</v>
      </c>
      <c r="UO29" s="766">
        <f>[1]Субсидия_факт!IH26</f>
        <v>0</v>
      </c>
      <c r="UP29" s="767">
        <f>[1]Субсидия_факт!IN26</f>
        <v>0</v>
      </c>
      <c r="UQ29" s="789">
        <f>[1]Субсидия_факт!IT26</f>
        <v>0</v>
      </c>
      <c r="UR29" s="767">
        <f>[1]Субсидия_факт!IZ26</f>
        <v>0</v>
      </c>
      <c r="US29" s="789">
        <f>[1]Субсидия_факт!KD26</f>
        <v>0</v>
      </c>
      <c r="UT29" s="767">
        <f>[1]Субсидия_факт!KJ26</f>
        <v>0</v>
      </c>
      <c r="UU29" s="783">
        <f t="shared" si="148"/>
        <v>0</v>
      </c>
      <c r="UV29" s="1028"/>
      <c r="UW29" s="794"/>
      <c r="UX29" s="1028"/>
      <c r="UY29" s="794"/>
      <c r="UZ29" s="1028"/>
      <c r="VA29" s="794"/>
      <c r="VB29" s="957">
        <f>'Прочая  субсидия_МР  и  ГО'!B24</f>
        <v>64518151.93</v>
      </c>
      <c r="VC29" s="957">
        <f>'Прочая  субсидия_МР  и  ГО'!C24</f>
        <v>12981234.6</v>
      </c>
      <c r="VD29" s="1234">
        <f>'Прочая  субсидия_БП'!B24</f>
        <v>1207370.6099999999</v>
      </c>
      <c r="VE29" s="801">
        <f>'Прочая  субсидия_БП'!C24</f>
        <v>262433.17999999993</v>
      </c>
      <c r="VF29" s="1267">
        <f>'Прочая  субсидия_БП'!D24</f>
        <v>-426663.07999999984</v>
      </c>
      <c r="VG29" s="958">
        <f>'Прочая  субсидия_БП'!E24</f>
        <v>262433.17999999993</v>
      </c>
      <c r="VH29" s="1268">
        <f>'Прочая  субсидия_БП'!F24</f>
        <v>1634033.69</v>
      </c>
      <c r="VI29" s="1267">
        <f>'Прочая  субсидия_БП'!G24</f>
        <v>0</v>
      </c>
      <c r="VJ29" s="801">
        <f t="shared" si="149"/>
        <v>306943760.31</v>
      </c>
      <c r="VK29" s="770">
        <f>'Проверочная  таблица'!WM29+'Проверочная  таблица'!VP29+'Проверочная  таблица'!VR29+WG29</f>
        <v>298602255.91000003</v>
      </c>
      <c r="VL29" s="795">
        <f>'Проверочная  таблица'!WN29+'Проверочная  таблица'!VV29+'Проверочная  таблица'!WB29+'Проверочная  таблица'!VX29+'Проверочная  таблица'!VZ29+WD29+WH29+VT29</f>
        <v>8341504.4000000004</v>
      </c>
      <c r="VM29" s="957">
        <f t="shared" si="150"/>
        <v>194952420.59</v>
      </c>
      <c r="VN29" s="770">
        <f>'Проверочная  таблица'!WP29+'Проверочная  таблица'!VQ29+'Проверочная  таблица'!VS29+WJ29</f>
        <v>190961647.25999999</v>
      </c>
      <c r="VO29" s="795">
        <f>'Проверочная  таблица'!WQ29+'Проверочная  таблица'!VW29+'Проверочная  таблица'!WC29+'Проверочная  таблица'!VY29+'Проверочная  таблица'!WA29+WE29+WK29+VU29</f>
        <v>3990773.33</v>
      </c>
      <c r="VP29" s="1253">
        <f>'Субвенция  на  полномочия'!B24</f>
        <v>288079386.64000005</v>
      </c>
      <c r="VQ29" s="1234">
        <f>'Субвенция  на  полномочия'!C24</f>
        <v>185325647.25999999</v>
      </c>
      <c r="VR29" s="790">
        <f>[1]Субвенция_факт!M25*1000</f>
        <v>7356142</v>
      </c>
      <c r="VS29" s="796">
        <v>4032000</v>
      </c>
      <c r="VT29" s="790">
        <f>[1]Субвенция_факт!AE25*1000</f>
        <v>0</v>
      </c>
      <c r="VU29" s="796"/>
      <c r="VV29" s="790">
        <f>[1]Субвенция_факт!AF25*1000</f>
        <v>1898500</v>
      </c>
      <c r="VW29" s="796">
        <f>ВУС!E192</f>
        <v>791257.54999999993</v>
      </c>
      <c r="VX29" s="1256">
        <f>[1]Субвенция_факт!AG25*1000</f>
        <v>0</v>
      </c>
      <c r="VY29" s="797"/>
      <c r="VZ29" s="792">
        <f>[1]Субвенция_факт!E25*1000</f>
        <v>0</v>
      </c>
      <c r="WA29" s="797"/>
      <c r="WB29" s="792">
        <f>[1]Субвенция_факт!F25*1000</f>
        <v>0</v>
      </c>
      <c r="WC29" s="797"/>
      <c r="WD29" s="791">
        <f>[1]Субвенция_факт!G25*1000</f>
        <v>0</v>
      </c>
      <c r="WE29" s="796"/>
      <c r="WF29" s="801">
        <f t="shared" si="151"/>
        <v>7581087.0199999996</v>
      </c>
      <c r="WG29" s="766">
        <f>[1]Субвенция_факт!P25*1000</f>
        <v>1971082.6199999992</v>
      </c>
      <c r="WH29" s="767">
        <f>[1]Субвенция_факт!Q25*1000</f>
        <v>5610004.4000000004</v>
      </c>
      <c r="WI29" s="957">
        <f t="shared" si="152"/>
        <v>3900000</v>
      </c>
      <c r="WJ29" s="770">
        <v>1014000</v>
      </c>
      <c r="WK29" s="798">
        <v>2886000</v>
      </c>
      <c r="WL29" s="957">
        <f t="shared" si="153"/>
        <v>2028644.65</v>
      </c>
      <c r="WM29" s="799">
        <f>[1]Субвенция_факт!X25*1000</f>
        <v>1195644.6499999999</v>
      </c>
      <c r="WN29" s="800">
        <f>[1]Субвенция_факт!W25*1000</f>
        <v>833000</v>
      </c>
      <c r="WO29" s="957">
        <f t="shared" si="154"/>
        <v>903515.78</v>
      </c>
      <c r="WP29" s="770">
        <v>590000</v>
      </c>
      <c r="WQ29" s="798">
        <v>313515.78000000003</v>
      </c>
      <c r="WR29" s="957">
        <f t="shared" si="240"/>
        <v>97963213.299999982</v>
      </c>
      <c r="WS29" s="957">
        <f t="shared" si="241"/>
        <v>36727506.049999997</v>
      </c>
      <c r="WT29" s="1253">
        <f t="shared" si="155"/>
        <v>0</v>
      </c>
      <c r="WU29" s="799">
        <f>'[1]Иные межбюджетные трансферты'!AM26</f>
        <v>0</v>
      </c>
      <c r="WV29" s="800">
        <f>'[1]Иные межбюджетные трансферты'!AO26</f>
        <v>0</v>
      </c>
      <c r="WW29" s="1253">
        <f t="shared" si="156"/>
        <v>0</v>
      </c>
      <c r="WX29" s="799"/>
      <c r="WY29" s="800"/>
      <c r="WZ29" s="957">
        <f t="shared" si="157"/>
        <v>1348095.69</v>
      </c>
      <c r="XA29" s="799">
        <f>'[1]Иные межбюджетные трансферты'!AI26</f>
        <v>67404.78</v>
      </c>
      <c r="XB29" s="800">
        <f>'[1]Иные межбюджетные трансферты'!AK26</f>
        <v>1280690.9099999999</v>
      </c>
      <c r="XC29" s="957">
        <f t="shared" si="158"/>
        <v>786389.16</v>
      </c>
      <c r="XD29" s="799">
        <v>39319.480000000003</v>
      </c>
      <c r="XE29" s="800">
        <v>747069.68</v>
      </c>
      <c r="XF29" s="957">
        <f t="shared" si="159"/>
        <v>10870941</v>
      </c>
      <c r="XG29" s="799">
        <f>'[1]Иные межбюджетные трансферты'!I26</f>
        <v>0</v>
      </c>
      <c r="XH29" s="800">
        <f>'[1]Иные межбюджетные трансферты'!K26</f>
        <v>10870941</v>
      </c>
      <c r="XI29" s="957">
        <f t="shared" si="242"/>
        <v>10870941</v>
      </c>
      <c r="XJ29" s="786"/>
      <c r="XK29" s="800">
        <v>10870941</v>
      </c>
      <c r="XL29" s="957">
        <f t="shared" si="161"/>
        <v>0</v>
      </c>
      <c r="XM29" s="789"/>
      <c r="XN29" s="957">
        <f t="shared" si="162"/>
        <v>0</v>
      </c>
      <c r="XO29" s="789"/>
      <c r="XP29" s="801">
        <f t="shared" si="163"/>
        <v>0</v>
      </c>
      <c r="XQ29" s="766">
        <f>'[1]Иные межбюджетные трансферты'!M26</f>
        <v>0</v>
      </c>
      <c r="XR29" s="957">
        <f t="shared" si="164"/>
        <v>0</v>
      </c>
      <c r="XS29" s="770"/>
      <c r="XT29" s="1252">
        <f t="shared" si="165"/>
        <v>0</v>
      </c>
      <c r="XU29" s="783">
        <f t="shared" si="166"/>
        <v>0</v>
      </c>
      <c r="XV29" s="1252">
        <f t="shared" si="167"/>
        <v>0</v>
      </c>
      <c r="XW29" s="783">
        <f t="shared" si="168"/>
        <v>0</v>
      </c>
      <c r="XX29" s="957">
        <f t="shared" si="243"/>
        <v>81965790.289999992</v>
      </c>
      <c r="XY29" s="787">
        <f>'[1]Иные межбюджетные трансферты'!E26</f>
        <v>0</v>
      </c>
      <c r="XZ29" s="799">
        <f>'[1]Иные межбюджетные трансферты'!G26</f>
        <v>71961868.789999992</v>
      </c>
      <c r="YA29" s="786">
        <f>'[1]Иные межбюджетные трансферты'!Q26</f>
        <v>0</v>
      </c>
      <c r="YB29" s="787">
        <f>'[1]Иные межбюджетные трансферты'!W26</f>
        <v>0</v>
      </c>
      <c r="YC29" s="786">
        <f>'[1]Иные межбюджетные трансферты'!Y26</f>
        <v>7157500</v>
      </c>
      <c r="YD29" s="1116">
        <f>'[1]Иные межбюджетные трансферты'!AE26</f>
        <v>0</v>
      </c>
      <c r="YE29" s="786">
        <f>'[1]Иные межбюджетные трансферты'!AQ26</f>
        <v>0</v>
      </c>
      <c r="YF29" s="766">
        <f>'[1]Иные межбюджетные трансферты'!AW26</f>
        <v>0</v>
      </c>
      <c r="YG29" s="786">
        <f>'[1]Иные межбюджетные трансферты'!AY26</f>
        <v>0</v>
      </c>
      <c r="YH29" s="1116">
        <f>'[1]Иные межбюджетные трансферты'!BA26</f>
        <v>2846421.5</v>
      </c>
      <c r="YI29" s="957">
        <f t="shared" si="244"/>
        <v>25070175.890000001</v>
      </c>
      <c r="YJ29" s="786"/>
      <c r="YK29" s="786">
        <v>16188782.789999999</v>
      </c>
      <c r="YL29" s="755"/>
      <c r="YM29" s="786"/>
      <c r="YN29" s="751">
        <f t="shared" si="245"/>
        <v>7157500</v>
      </c>
      <c r="YO29" s="751"/>
      <c r="YP29" s="751"/>
      <c r="YQ29" s="751"/>
      <c r="YR29" s="751"/>
      <c r="YS29" s="751">
        <v>1723893.1</v>
      </c>
      <c r="YT29" s="957">
        <f t="shared" si="169"/>
        <v>3778386.3200000003</v>
      </c>
      <c r="YU29" s="799">
        <f>'[1]Иные межбюджетные трансферты'!S26</f>
        <v>0</v>
      </c>
      <c r="YV29" s="786">
        <f>'[1]Иные межбюджетные трансферты'!AA26</f>
        <v>0</v>
      </c>
      <c r="YW29" s="1116">
        <f>'[1]Иные межбюджетные трансферты'!AG26</f>
        <v>0</v>
      </c>
      <c r="YX29" s="787">
        <f>'[1]Иные межбюджетные трансферты'!AS26</f>
        <v>0</v>
      </c>
      <c r="YY29" s="751">
        <f>'[1]Иные межбюджетные трансферты'!BC26</f>
        <v>3778386.3200000003</v>
      </c>
      <c r="YZ29" s="957">
        <f t="shared" si="170"/>
        <v>0</v>
      </c>
      <c r="ZA29" s="769"/>
      <c r="ZB29" s="769">
        <f t="shared" si="246"/>
        <v>0</v>
      </c>
      <c r="ZC29" s="769"/>
      <c r="ZD29" s="751"/>
      <c r="ZE29" s="751"/>
      <c r="ZF29" s="783">
        <f t="shared" si="171"/>
        <v>3778386.3200000003</v>
      </c>
      <c r="ZG29" s="763">
        <f>'Проверочная  таблица'!YU29-ZS29</f>
        <v>0</v>
      </c>
      <c r="ZH29" s="763">
        <f>'Проверочная  таблица'!YV29-ZT29</f>
        <v>0</v>
      </c>
      <c r="ZI29" s="763">
        <f>'Проверочная  таблица'!YW29-ZU29</f>
        <v>0</v>
      </c>
      <c r="ZJ29" s="763">
        <f>'Проверочная  таблица'!YX29-ZV29</f>
        <v>0</v>
      </c>
      <c r="ZK29" s="763">
        <f>'Проверочная  таблица'!YY29-ZW29</f>
        <v>3778386.3200000003</v>
      </c>
      <c r="ZL29" s="783">
        <f t="shared" si="172"/>
        <v>0</v>
      </c>
      <c r="ZM29" s="763">
        <f>'Проверочная  таблица'!ZA29-ZY29</f>
        <v>0</v>
      </c>
      <c r="ZN29" s="763">
        <f>'Проверочная  таблица'!ZB29-ZZ29</f>
        <v>0</v>
      </c>
      <c r="ZO29" s="763">
        <f>'Проверочная  таблица'!ZC29-AAA29</f>
        <v>0</v>
      </c>
      <c r="ZP29" s="763">
        <f>'Проверочная  таблица'!ZD29-AAB29</f>
        <v>0</v>
      </c>
      <c r="ZQ29" s="763">
        <f>'Проверочная  таблица'!ZE29-AAC29</f>
        <v>0</v>
      </c>
      <c r="ZR29" s="783">
        <f t="shared" si="173"/>
        <v>0</v>
      </c>
      <c r="ZS29" s="799">
        <f>'[1]Иные межбюджетные трансферты'!U26</f>
        <v>0</v>
      </c>
      <c r="ZT29" s="786">
        <f>'[1]Иные межбюджетные трансферты'!AC26</f>
        <v>0</v>
      </c>
      <c r="ZU29" s="787"/>
      <c r="ZV29" s="799">
        <f>'[1]Иные межбюджетные трансферты'!AU26</f>
        <v>0</v>
      </c>
      <c r="ZW29" s="751"/>
      <c r="ZX29" s="783">
        <f t="shared" si="174"/>
        <v>0</v>
      </c>
      <c r="ZY29" s="769"/>
      <c r="ZZ29" s="769">
        <f t="shared" si="247"/>
        <v>0</v>
      </c>
      <c r="AAA29" s="769"/>
      <c r="AAB29" s="751"/>
      <c r="AAC29" s="751"/>
      <c r="AAD29" s="957">
        <f>AAF29+'Проверочная  таблица'!AAN29+AAJ29+'Проверочная  таблица'!AAR29+AAL29+'Проверочная  таблица'!AAT29</f>
        <v>0</v>
      </c>
      <c r="AAE29" s="957">
        <f>AAG29+'Проверочная  таблица'!AAO29+AAK29+'Проверочная  таблица'!AAS29+AAM29+'Проверочная  таблица'!AAU29</f>
        <v>0</v>
      </c>
      <c r="AAF29" s="801"/>
      <c r="AAG29" s="801"/>
      <c r="AAH29" s="801"/>
      <c r="AAI29" s="801"/>
      <c r="AAJ29" s="1269">
        <f t="shared" si="175"/>
        <v>0</v>
      </c>
      <c r="AAK29" s="809">
        <f t="shared" si="175"/>
        <v>0</v>
      </c>
      <c r="AAL29" s="815"/>
      <c r="AAM29" s="809"/>
      <c r="AAN29" s="801"/>
      <c r="AAO29" s="801"/>
      <c r="AAP29" s="801"/>
      <c r="AAQ29" s="801"/>
      <c r="AAR29" s="1269">
        <f t="shared" si="176"/>
        <v>0</v>
      </c>
      <c r="AAS29" s="809">
        <f t="shared" si="176"/>
        <v>0</v>
      </c>
      <c r="AAT29" s="809"/>
      <c r="AAU29" s="809"/>
      <c r="AAV29" s="1246">
        <f>'Проверочная  таблица'!AAN29+'Проверочная  таблица'!AAP29</f>
        <v>0</v>
      </c>
      <c r="AAW29" s="1246">
        <f>'Проверочная  таблица'!AAO29+'Проверочная  таблица'!AAQ29</f>
        <v>0</v>
      </c>
    </row>
    <row r="30" spans="1:725" ht="24" customHeight="1" thickBot="1" x14ac:dyDescent="0.3">
      <c r="A30" s="816" t="s">
        <v>1318</v>
      </c>
      <c r="B30" s="842">
        <f>D30+AN30+'Проверочная  таблица'!VJ30+'Проверочная  таблица'!WR30</f>
        <v>1025812886.15</v>
      </c>
      <c r="C30" s="1273">
        <f>E30+'Проверочная  таблица'!VM30+AO30+'Проверочная  таблица'!WS30</f>
        <v>374750669.57999998</v>
      </c>
      <c r="D30" s="1274">
        <f t="shared" si="0"/>
        <v>118657113.49000001</v>
      </c>
      <c r="E30" s="1260">
        <f t="shared" si="1"/>
        <v>64545519.719999999</v>
      </c>
      <c r="F30" s="1275">
        <f>'[1]Дотация  из  ОБ_факт'!M25</f>
        <v>27018127</v>
      </c>
      <c r="G30" s="1276">
        <v>16500000</v>
      </c>
      <c r="H30" s="1275">
        <f>'[1]Дотация  из  ОБ_факт'!G25</f>
        <v>39899851.490000002</v>
      </c>
      <c r="I30" s="1276">
        <v>20075852.719999999</v>
      </c>
      <c r="J30" s="1277">
        <f t="shared" si="2"/>
        <v>39899851.490000002</v>
      </c>
      <c r="K30" s="1278">
        <f t="shared" si="2"/>
        <v>20075852.719999999</v>
      </c>
      <c r="L30" s="1277">
        <f>'[1]Дотация  из  ОБ_факт'!K25</f>
        <v>0</v>
      </c>
      <c r="M30" s="817"/>
      <c r="N30" s="1275">
        <f>'[1]Дотация  из  ОБ_факт'!Q25</f>
        <v>0</v>
      </c>
      <c r="O30" s="1276"/>
      <c r="P30" s="1275">
        <f>'[1]Дотация  из  ОБ_факт'!S25</f>
        <v>48385010</v>
      </c>
      <c r="Q30" s="1276">
        <v>26169667</v>
      </c>
      <c r="R30" s="1277">
        <f t="shared" si="3"/>
        <v>42824407</v>
      </c>
      <c r="S30" s="1278">
        <f t="shared" si="3"/>
        <v>23389667</v>
      </c>
      <c r="T30" s="1277">
        <f>'[1]Дотация  из  ОБ_факт'!W25</f>
        <v>5560603</v>
      </c>
      <c r="U30" s="817">
        <v>2780000</v>
      </c>
      <c r="V30" s="1279">
        <f t="shared" si="4"/>
        <v>1800000</v>
      </c>
      <c r="W30" s="1250">
        <f>'[1]Дотация  из  ОБ_факт'!AA25</f>
        <v>1800000</v>
      </c>
      <c r="X30" s="1251">
        <f>'[1]Дотация  из  ОБ_факт'!AC25</f>
        <v>0</v>
      </c>
      <c r="Y30" s="1251">
        <f>'[1]Дотация  из  ОБ_факт'!AG25</f>
        <v>0</v>
      </c>
      <c r="Z30" s="1280">
        <f t="shared" si="5"/>
        <v>1800000</v>
      </c>
      <c r="AA30" s="751">
        <f t="shared" si="180"/>
        <v>1800000</v>
      </c>
      <c r="AB30" s="751">
        <f t="shared" si="180"/>
        <v>0</v>
      </c>
      <c r="AC30" s="818"/>
      <c r="AD30" s="1279">
        <f t="shared" si="6"/>
        <v>1554125</v>
      </c>
      <c r="AE30" s="1250">
        <f>'[1]Дотация  из  ОБ_факт'!Y25</f>
        <v>954125</v>
      </c>
      <c r="AF30" s="1251">
        <f>'[1]Дотация  из  ОБ_факт'!AE25</f>
        <v>600000</v>
      </c>
      <c r="AG30" s="1279">
        <f t="shared" si="7"/>
        <v>0</v>
      </c>
      <c r="AH30" s="819"/>
      <c r="AI30" s="818"/>
      <c r="AJ30" s="1277">
        <f t="shared" si="8"/>
        <v>954125</v>
      </c>
      <c r="AK30" s="1278">
        <f t="shared" si="9"/>
        <v>0</v>
      </c>
      <c r="AL30" s="1277">
        <f>'[1]Дотация  из  ОБ_факт'!AE25</f>
        <v>600000</v>
      </c>
      <c r="AM30" s="820"/>
      <c r="AN30" s="919">
        <f>'Проверочная  таблица'!VB30+'Проверочная  таблица'!VD30+BT30+BV30+CH30+CJ30+BH30+BL30+'Проверочная  таблица'!NB30+'Проверочная  таблица'!NR30+'Проверочная  таблица'!EB30+'Проверочная  таблица'!OJ30+DT30+'Проверочная  таблица'!JR30+'Проверочная  таблица'!JX30+'Проверочная  таблица'!OR30+'Проверочная  таблица'!OZ30+JL30+AP30+AV30+FB30+FH30+CV30+SX30+EH30+TL30+QH30+EN30+EV30+LV30+MD30+SR30+GV30+SD30+RF30+KP30+KZ30+RL30+SJ30+CP30+QZ30+HL30+GF30+HR30+HX30+FZ30+DJ30+PX30+CB30+IP30+JF30+HD30+GL30+IV30</f>
        <v>356742579.00999993</v>
      </c>
      <c r="AO30" s="920">
        <f>'Проверочная  таблица'!VC30+'Проверочная  таблица'!VE30+BU30+BW30+CI30+CK30+BJ30+BN30+'Проверочная  таблица'!NJ30+'Проверочная  таблица'!NU30+'Проверочная  таблица'!EE30+'Проверочная  таблица'!ON30+DX30+'Проверочная  таблица'!JU30+'Проверочная  таблица'!KA30+'Проверочная  таблица'!OV30+'Проверочная  таблица'!PD30+JO30+AS30+AX30+FE30+FK30+DC30+TE30+EK30+TS30+QK30+ER30+EY30+LZ30+MH30+SU30+GZ30+SG30+RI30+KU30+LE30+RO30+SN30+CS30+RC30+HO30+GI30+HU30+IA30+GC30+DM30+QC30+CE30+IS30+JI30+HF30+GO30+IY30</f>
        <v>53365816.700000003</v>
      </c>
      <c r="AP30" s="921">
        <f t="shared" si="10"/>
        <v>28613600</v>
      </c>
      <c r="AQ30" s="822">
        <f>[1]Субсидия_факт!HV27</f>
        <v>28613600</v>
      </c>
      <c r="AR30" s="821">
        <f>[1]Субсидия_факт!MR27</f>
        <v>0</v>
      </c>
      <c r="AS30" s="921">
        <f t="shared" si="11"/>
        <v>2293600</v>
      </c>
      <c r="AT30" s="821">
        <v>2293600</v>
      </c>
      <c r="AU30" s="822"/>
      <c r="AV30" s="921">
        <f t="shared" si="12"/>
        <v>9000000</v>
      </c>
      <c r="AW30" s="821">
        <f>[1]Субсидия_факт!MV27</f>
        <v>9000000</v>
      </c>
      <c r="AX30" s="1271">
        <f t="shared" si="13"/>
        <v>0</v>
      </c>
      <c r="AY30" s="821"/>
      <c r="AZ30" s="934">
        <f t="shared" si="14"/>
        <v>9000000</v>
      </c>
      <c r="BA30" s="821">
        <f t="shared" si="15"/>
        <v>9000000</v>
      </c>
      <c r="BB30" s="1281">
        <f t="shared" si="16"/>
        <v>0</v>
      </c>
      <c r="BC30" s="822">
        <f t="shared" si="17"/>
        <v>0</v>
      </c>
      <c r="BD30" s="923">
        <f t="shared" si="18"/>
        <v>0</v>
      </c>
      <c r="BE30" s="821">
        <f>[1]Субсидия_факт!MX27</f>
        <v>0</v>
      </c>
      <c r="BF30" s="1270">
        <f t="shared" si="19"/>
        <v>0</v>
      </c>
      <c r="BG30" s="806"/>
      <c r="BH30" s="842">
        <f t="shared" si="20"/>
        <v>28177208.5</v>
      </c>
      <c r="BI30" s="821">
        <f>[1]Субсидия_факт!KZ27</f>
        <v>28177208.5</v>
      </c>
      <c r="BJ30" s="1273">
        <f t="shared" si="21"/>
        <v>0</v>
      </c>
      <c r="BK30" s="806"/>
      <c r="BL30" s="842">
        <f t="shared" si="22"/>
        <v>0</v>
      </c>
      <c r="BM30" s="821">
        <f>[1]Субсидия_факт!LB27</f>
        <v>0</v>
      </c>
      <c r="BN30" s="1273">
        <f t="shared" si="23"/>
        <v>0</v>
      </c>
      <c r="BO30" s="806"/>
      <c r="BP30" s="936">
        <f t="shared" si="24"/>
        <v>0</v>
      </c>
      <c r="BQ30" s="923">
        <f t="shared" si="25"/>
        <v>0</v>
      </c>
      <c r="BR30" s="934">
        <f t="shared" si="26"/>
        <v>0</v>
      </c>
      <c r="BS30" s="936">
        <f t="shared" si="27"/>
        <v>0</v>
      </c>
      <c r="BT30" s="842">
        <f>[1]Субсидия_факт!GV27</f>
        <v>0</v>
      </c>
      <c r="BU30" s="823"/>
      <c r="BV30" s="1282">
        <f>[1]Субсидия_факт!GX27</f>
        <v>0</v>
      </c>
      <c r="BW30" s="824"/>
      <c r="BX30" s="1283">
        <f t="shared" si="253"/>
        <v>0</v>
      </c>
      <c r="BY30" s="1284">
        <f t="shared" si="253"/>
        <v>0</v>
      </c>
      <c r="BZ30" s="1281">
        <f>[1]Субсидия_факт!GZ27</f>
        <v>0</v>
      </c>
      <c r="CA30" s="804"/>
      <c r="CB30" s="846">
        <f t="shared" si="29"/>
        <v>48144600</v>
      </c>
      <c r="CC30" s="827">
        <f>[1]Субсидия_факт!HL27</f>
        <v>28613600</v>
      </c>
      <c r="CD30" s="821">
        <f>[1]Субсидия_факт!HN27</f>
        <v>19531000</v>
      </c>
      <c r="CE30" s="921">
        <f t="shared" si="30"/>
        <v>3145000</v>
      </c>
      <c r="CF30" s="821"/>
      <c r="CG30" s="821">
        <v>3145000</v>
      </c>
      <c r="CH30" s="1263">
        <f>[1]Субсидия_факт!HB27</f>
        <v>0</v>
      </c>
      <c r="CI30" s="825"/>
      <c r="CJ30" s="1273">
        <f>[1]Субсидия_факт!HD27</f>
        <v>0</v>
      </c>
      <c r="CK30" s="805"/>
      <c r="CL30" s="1270">
        <f t="shared" si="254"/>
        <v>0</v>
      </c>
      <c r="CM30" s="923">
        <f t="shared" si="254"/>
        <v>0</v>
      </c>
      <c r="CN30" s="1225">
        <f>[1]Субсидия_факт!HF27</f>
        <v>0</v>
      </c>
      <c r="CO30" s="826"/>
      <c r="CP30" s="846">
        <f t="shared" si="32"/>
        <v>11957838.710000001</v>
      </c>
      <c r="CQ30" s="827">
        <f>[1]Субсидия_факт!HP27</f>
        <v>0</v>
      </c>
      <c r="CR30" s="821">
        <f>[1]Субсидия_факт!HR27</f>
        <v>11957838.710000001</v>
      </c>
      <c r="CS30" s="921">
        <f t="shared" si="33"/>
        <v>1450780.01</v>
      </c>
      <c r="CT30" s="821"/>
      <c r="CU30" s="821">
        <v>1450780.01</v>
      </c>
      <c r="CV30" s="910">
        <f t="shared" si="34"/>
        <v>0</v>
      </c>
      <c r="CW30" s="763">
        <f>[1]Субсидия_факт!LR27</f>
        <v>0</v>
      </c>
      <c r="CX30" s="762">
        <f>[1]Субсидия_факт!LT27</f>
        <v>0</v>
      </c>
      <c r="CY30" s="754">
        <f>[1]Субсидия_факт!LV27</f>
        <v>0</v>
      </c>
      <c r="CZ30" s="762">
        <f>[1]Субсидия_факт!MB27</f>
        <v>0</v>
      </c>
      <c r="DA30" s="754">
        <f>[1]Субсидия_факт!MH27</f>
        <v>0</v>
      </c>
      <c r="DB30" s="762">
        <f>[1]Субсидия_факт!MJ27</f>
        <v>0</v>
      </c>
      <c r="DC30" s="910">
        <f t="shared" si="35"/>
        <v>0</v>
      </c>
      <c r="DD30" s="810"/>
      <c r="DE30" s="811"/>
      <c r="DF30" s="806"/>
      <c r="DG30" s="811"/>
      <c r="DH30" s="806"/>
      <c r="DI30" s="811"/>
      <c r="DJ30" s="920">
        <f t="shared" si="205"/>
        <v>0</v>
      </c>
      <c r="DK30" s="763">
        <f>[1]Субсидия_факт!LX27</f>
        <v>0</v>
      </c>
      <c r="DL30" s="762">
        <f>[1]Субсидия_факт!MD27</f>
        <v>0</v>
      </c>
      <c r="DM30" s="910">
        <f t="shared" si="37"/>
        <v>0</v>
      </c>
      <c r="DN30" s="763"/>
      <c r="DO30" s="764"/>
      <c r="DP30" s="1226">
        <f t="shared" si="206"/>
        <v>0</v>
      </c>
      <c r="DQ30" s="782">
        <f t="shared" si="207"/>
        <v>0</v>
      </c>
      <c r="DR30" s="1225">
        <f t="shared" si="208"/>
        <v>0</v>
      </c>
      <c r="DS30" s="753">
        <f t="shared" si="209"/>
        <v>0</v>
      </c>
      <c r="DT30" s="1273">
        <f t="shared" si="210"/>
        <v>7600000</v>
      </c>
      <c r="DU30" s="822">
        <f>[1]Субсидия_факт!R27</f>
        <v>4000000</v>
      </c>
      <c r="DV30" s="827">
        <f>[1]Субсидия_факт!T27</f>
        <v>3600000</v>
      </c>
      <c r="DW30" s="821">
        <f>[1]Субсидия_факт!V27</f>
        <v>0</v>
      </c>
      <c r="DX30" s="1273">
        <f t="shared" si="211"/>
        <v>6608000</v>
      </c>
      <c r="DY30" s="806">
        <v>3760000</v>
      </c>
      <c r="DZ30" s="806">
        <v>2848000</v>
      </c>
      <c r="EA30" s="806"/>
      <c r="EB30" s="846">
        <f t="shared" si="38"/>
        <v>0</v>
      </c>
      <c r="EC30" s="827">
        <f>[1]Субсидия_факт!AX27</f>
        <v>0</v>
      </c>
      <c r="ED30" s="828">
        <f>[1]Субсидия_факт!AZ27</f>
        <v>0</v>
      </c>
      <c r="EE30" s="847">
        <f t="shared" si="250"/>
        <v>0</v>
      </c>
      <c r="EF30" s="810"/>
      <c r="EG30" s="811"/>
      <c r="EH30" s="842">
        <f t="shared" si="40"/>
        <v>0</v>
      </c>
      <c r="EI30" s="830">
        <f>[1]Субсидия_факт!X27</f>
        <v>0</v>
      </c>
      <c r="EJ30" s="831">
        <f>[1]Субсидия_факт!Z27</f>
        <v>0</v>
      </c>
      <c r="EK30" s="1273">
        <f t="shared" si="41"/>
        <v>0</v>
      </c>
      <c r="EL30" s="827"/>
      <c r="EM30" s="828"/>
      <c r="EN30" s="920">
        <f t="shared" si="212"/>
        <v>0</v>
      </c>
      <c r="EO30" s="763">
        <f>[1]Субсидия_факт!AP27</f>
        <v>0</v>
      </c>
      <c r="EP30" s="763">
        <f>[1]Субсидия_факт!AL27</f>
        <v>0</v>
      </c>
      <c r="EQ30" s="764">
        <f>[1]Субсидия_факт!AN27</f>
        <v>0</v>
      </c>
      <c r="ER30" s="920">
        <f t="shared" si="42"/>
        <v>0</v>
      </c>
      <c r="ES30" s="812"/>
      <c r="ET30" s="812"/>
      <c r="EU30" s="813"/>
      <c r="EV30" s="846">
        <f t="shared" si="43"/>
        <v>0</v>
      </c>
      <c r="EW30" s="763">
        <f>[1]Субсидия_факт!HH27</f>
        <v>0</v>
      </c>
      <c r="EX30" s="762">
        <f>[1]Субсидия_факт!HJ27</f>
        <v>0</v>
      </c>
      <c r="EY30" s="921">
        <f t="shared" si="44"/>
        <v>0</v>
      </c>
      <c r="EZ30" s="763"/>
      <c r="FA30" s="762"/>
      <c r="FB30" s="846">
        <f t="shared" si="45"/>
        <v>0</v>
      </c>
      <c r="FC30" s="766">
        <f>[1]Субсидия_факт!PK27</f>
        <v>0</v>
      </c>
      <c r="FD30" s="767">
        <f>[1]Субсидия_факт!PQ27</f>
        <v>0</v>
      </c>
      <c r="FE30" s="921">
        <f t="shared" si="46"/>
        <v>0</v>
      </c>
      <c r="FF30" s="763"/>
      <c r="FG30" s="764"/>
      <c r="FH30" s="846">
        <f t="shared" si="47"/>
        <v>304150.08</v>
      </c>
      <c r="FI30" s="763">
        <f>[1]Субсидия_факт!PM27</f>
        <v>79387.120000000024</v>
      </c>
      <c r="FJ30" s="762">
        <f>[1]Субсидия_факт!PS27</f>
        <v>224762.96</v>
      </c>
      <c r="FK30" s="921">
        <f t="shared" si="48"/>
        <v>304150.08</v>
      </c>
      <c r="FL30" s="812">
        <v>79387.11</v>
      </c>
      <c r="FM30" s="813">
        <v>224762.97</v>
      </c>
      <c r="FN30" s="936">
        <f t="shared" si="49"/>
        <v>304150.08</v>
      </c>
      <c r="FO30" s="812">
        <f t="shared" si="255"/>
        <v>79387.120000000024</v>
      </c>
      <c r="FP30" s="811">
        <f t="shared" si="255"/>
        <v>224762.96</v>
      </c>
      <c r="FQ30" s="923">
        <f t="shared" si="51"/>
        <v>304150.08</v>
      </c>
      <c r="FR30" s="812">
        <f t="shared" si="256"/>
        <v>79387.11</v>
      </c>
      <c r="FS30" s="811">
        <f t="shared" si="256"/>
        <v>224762.97</v>
      </c>
      <c r="FT30" s="936">
        <f t="shared" si="53"/>
        <v>0</v>
      </c>
      <c r="FU30" s="763">
        <f>[1]Субсидия_факт!PO27</f>
        <v>0</v>
      </c>
      <c r="FV30" s="762">
        <f>[1]Субсидия_факт!PU27</f>
        <v>0</v>
      </c>
      <c r="FW30" s="923">
        <f t="shared" si="54"/>
        <v>0</v>
      </c>
      <c r="FX30" s="812"/>
      <c r="FY30" s="813"/>
      <c r="FZ30" s="848">
        <f t="shared" si="55"/>
        <v>0</v>
      </c>
      <c r="GA30" s="827">
        <f>[1]Субсидия_факт!EP27</f>
        <v>0</v>
      </c>
      <c r="GB30" s="828">
        <f>[1]Субсидия_факт!ER27</f>
        <v>0</v>
      </c>
      <c r="GC30" s="868">
        <f t="shared" si="56"/>
        <v>0</v>
      </c>
      <c r="GD30" s="812"/>
      <c r="GE30" s="813"/>
      <c r="GF30" s="848">
        <f t="shared" si="57"/>
        <v>0</v>
      </c>
      <c r="GG30" s="827">
        <f>[1]Субсидия_факт!JN27</f>
        <v>0</v>
      </c>
      <c r="GH30" s="828">
        <f>[1]Субсидия_факт!JP27</f>
        <v>0</v>
      </c>
      <c r="GI30" s="848">
        <f t="shared" si="58"/>
        <v>0</v>
      </c>
      <c r="GJ30" s="812"/>
      <c r="GK30" s="813"/>
      <c r="GL30" s="986">
        <f t="shared" si="59"/>
        <v>0</v>
      </c>
      <c r="GM30" s="812">
        <f>[1]Субсидия_факт!JR27</f>
        <v>0</v>
      </c>
      <c r="GN30" s="813">
        <f>[1]Субсидия_факт!JV27</f>
        <v>0</v>
      </c>
      <c r="GO30" s="986">
        <f t="shared" si="60"/>
        <v>0</v>
      </c>
      <c r="GP30" s="812"/>
      <c r="GQ30" s="811"/>
      <c r="GR30" s="1284">
        <f t="shared" si="213"/>
        <v>0</v>
      </c>
      <c r="GS30" s="1281">
        <f t="shared" si="214"/>
        <v>0</v>
      </c>
      <c r="GT30" s="1283">
        <f t="shared" si="215"/>
        <v>0</v>
      </c>
      <c r="GU30" s="1281">
        <f t="shared" si="216"/>
        <v>0</v>
      </c>
      <c r="GV30" s="1234">
        <f t="shared" si="61"/>
        <v>28177208.5</v>
      </c>
      <c r="GW30" s="827">
        <f>[1]Субсидия_факт!KL27</f>
        <v>0</v>
      </c>
      <c r="GX30" s="828">
        <f>[1]Субсидия_факт!KN27</f>
        <v>28177208.5</v>
      </c>
      <c r="GY30" s="827">
        <f>[1]Субсидия_факт!KP27</f>
        <v>0</v>
      </c>
      <c r="GZ30" s="801">
        <f t="shared" si="62"/>
        <v>0</v>
      </c>
      <c r="HA30" s="827"/>
      <c r="HB30" s="828"/>
      <c r="HC30" s="806"/>
      <c r="HD30" s="1235">
        <f t="shared" si="217"/>
        <v>0</v>
      </c>
      <c r="HE30" s="827">
        <f>[1]Субсидия_факт!KR27</f>
        <v>0</v>
      </c>
      <c r="HF30" s="1235">
        <f t="shared" si="217"/>
        <v>0</v>
      </c>
      <c r="HG30" s="829"/>
      <c r="HH30" s="1235">
        <f t="shared" si="218"/>
        <v>0</v>
      </c>
      <c r="HI30" s="1235">
        <f t="shared" si="219"/>
        <v>0</v>
      </c>
      <c r="HJ30" s="1235">
        <f t="shared" si="220"/>
        <v>0</v>
      </c>
      <c r="HK30" s="1235">
        <f t="shared" si="221"/>
        <v>0</v>
      </c>
      <c r="HL30" s="848">
        <f t="shared" si="63"/>
        <v>0</v>
      </c>
      <c r="HM30" s="827">
        <f>[1]Субсидия_факт!KV27</f>
        <v>0</v>
      </c>
      <c r="HN30" s="828">
        <f>[1]Субсидия_факт!KX27</f>
        <v>0</v>
      </c>
      <c r="HO30" s="921">
        <f t="shared" si="64"/>
        <v>0</v>
      </c>
      <c r="HP30" s="827"/>
      <c r="HQ30" s="828"/>
      <c r="HR30" s="848">
        <f t="shared" si="65"/>
        <v>0</v>
      </c>
      <c r="HS30" s="827"/>
      <c r="HT30" s="828"/>
      <c r="HU30" s="921">
        <f t="shared" si="66"/>
        <v>0</v>
      </c>
      <c r="HV30" s="827"/>
      <c r="HW30" s="828"/>
      <c r="HX30" s="848">
        <f t="shared" si="67"/>
        <v>821052.83999999985</v>
      </c>
      <c r="HY30" s="827">
        <f>[1]Субсидия_факт!FV27</f>
        <v>0</v>
      </c>
      <c r="HZ30" s="828">
        <f>[1]Субсидия_факт!FZ27</f>
        <v>821052.83999999985</v>
      </c>
      <c r="IA30" s="921">
        <f t="shared" si="68"/>
        <v>0</v>
      </c>
      <c r="IB30" s="827"/>
      <c r="IC30" s="828"/>
      <c r="ID30" s="936">
        <f t="shared" si="69"/>
        <v>0</v>
      </c>
      <c r="IE30" s="812">
        <f t="shared" si="257"/>
        <v>-821052.83999999985</v>
      </c>
      <c r="IF30" s="811">
        <f t="shared" si="257"/>
        <v>821052.83999999985</v>
      </c>
      <c r="IG30" s="923">
        <f t="shared" si="71"/>
        <v>0</v>
      </c>
      <c r="IH30" s="812">
        <f t="shared" si="258"/>
        <v>0</v>
      </c>
      <c r="II30" s="811">
        <f t="shared" si="258"/>
        <v>0</v>
      </c>
      <c r="IJ30" s="936">
        <f t="shared" si="73"/>
        <v>821052.83999999985</v>
      </c>
      <c r="IK30" s="763">
        <f>[1]Субсидия_факт!FX27</f>
        <v>821052.83999999985</v>
      </c>
      <c r="IL30" s="762">
        <f>[1]Субсидия_факт!GB27</f>
        <v>0</v>
      </c>
      <c r="IM30" s="923">
        <f t="shared" si="74"/>
        <v>0</v>
      </c>
      <c r="IN30" s="763">
        <f t="shared" si="188"/>
        <v>0</v>
      </c>
      <c r="IO30" s="764">
        <f t="shared" si="189"/>
        <v>0</v>
      </c>
      <c r="IP30" s="846">
        <f t="shared" si="75"/>
        <v>0</v>
      </c>
      <c r="IQ30" s="812">
        <f>[1]Субсидия_факт!ED27</f>
        <v>0</v>
      </c>
      <c r="IR30" s="813">
        <f>[1]Субсидия_факт!EF27</f>
        <v>0</v>
      </c>
      <c r="IS30" s="921">
        <f t="shared" si="76"/>
        <v>0</v>
      </c>
      <c r="IT30" s="830"/>
      <c r="IU30" s="831"/>
      <c r="IV30" s="1146">
        <f t="shared" si="77"/>
        <v>2631578.9500000002</v>
      </c>
      <c r="IW30" s="763">
        <f>[1]Субсидия_факт!EH27</f>
        <v>131578.95000000001</v>
      </c>
      <c r="IX30" s="764">
        <f>[1]Субсидия_факт!EL27</f>
        <v>2500000</v>
      </c>
      <c r="IY30" s="1147">
        <f t="shared" si="78"/>
        <v>0</v>
      </c>
      <c r="IZ30" s="830"/>
      <c r="JA30" s="1054"/>
      <c r="JB30" s="1284">
        <f t="shared" si="222"/>
        <v>0</v>
      </c>
      <c r="JC30" s="1284">
        <f t="shared" si="223"/>
        <v>0</v>
      </c>
      <c r="JD30" s="1284">
        <f t="shared" si="224"/>
        <v>2631578.9500000002</v>
      </c>
      <c r="JE30" s="1281">
        <f t="shared" si="225"/>
        <v>0</v>
      </c>
      <c r="JF30" s="1258">
        <f t="shared" si="79"/>
        <v>8000000</v>
      </c>
      <c r="JG30" s="812">
        <f>[1]Субсидия_факт!BX27</f>
        <v>400000</v>
      </c>
      <c r="JH30" s="813">
        <f>[1]Субсидия_факт!BZ27</f>
        <v>7600000</v>
      </c>
      <c r="JI30" s="847">
        <f t="shared" si="80"/>
        <v>592914.24</v>
      </c>
      <c r="JJ30" s="827">
        <v>29645.71</v>
      </c>
      <c r="JK30" s="828">
        <v>563268.53</v>
      </c>
      <c r="JL30" s="846">
        <f t="shared" si="81"/>
        <v>0</v>
      </c>
      <c r="JM30" s="827">
        <f>[1]Субсидия_факт!ET27</f>
        <v>0</v>
      </c>
      <c r="JN30" s="828">
        <f>[1]Субсидия_факт!EV27</f>
        <v>0</v>
      </c>
      <c r="JO30" s="847">
        <f t="shared" si="82"/>
        <v>0</v>
      </c>
      <c r="JP30" s="827"/>
      <c r="JQ30" s="828"/>
      <c r="JR30" s="921">
        <f t="shared" si="83"/>
        <v>0</v>
      </c>
      <c r="JS30" s="763">
        <f>[1]Субсидия_факт!EX27</f>
        <v>0</v>
      </c>
      <c r="JT30" s="762">
        <f>[1]Субсидия_факт!FD27</f>
        <v>0</v>
      </c>
      <c r="JU30" s="921">
        <f t="shared" si="84"/>
        <v>0</v>
      </c>
      <c r="JV30" s="812"/>
      <c r="JW30" s="813"/>
      <c r="JX30" s="921">
        <f t="shared" si="85"/>
        <v>0</v>
      </c>
      <c r="JY30" s="763">
        <f>[1]Субсидия_факт!EZ27</f>
        <v>0</v>
      </c>
      <c r="JZ30" s="764">
        <f>[1]Субсидия_факт!FF27</f>
        <v>0</v>
      </c>
      <c r="KA30" s="921">
        <f t="shared" si="86"/>
        <v>0</v>
      </c>
      <c r="KB30" s="806"/>
      <c r="KC30" s="832"/>
      <c r="KD30" s="923">
        <f t="shared" si="87"/>
        <v>-254101.37</v>
      </c>
      <c r="KE30" s="810">
        <f>'Проверочная  таблица'!JY30-'Проверочная  таблица'!KK30</f>
        <v>-66066.359999999986</v>
      </c>
      <c r="KF30" s="813">
        <f>'Проверочная  таблица'!JZ30-'Проверочная  таблица'!KL30</f>
        <v>-188035.01</v>
      </c>
      <c r="KG30" s="934">
        <f t="shared" si="88"/>
        <v>0</v>
      </c>
      <c r="KH30" s="806">
        <f>'Проверочная  таблица'!KB30-'Проверочная  таблица'!KN30</f>
        <v>0</v>
      </c>
      <c r="KI30" s="833">
        <f>'Проверочная  таблица'!KC30-'Проверочная  таблица'!KO30</f>
        <v>0</v>
      </c>
      <c r="KJ30" s="923">
        <f t="shared" si="89"/>
        <v>254101.37</v>
      </c>
      <c r="KK30" s="763">
        <f>[1]Субсидия_факт!FB27</f>
        <v>66066.359999999986</v>
      </c>
      <c r="KL30" s="762">
        <f>[1]Субсидия_факт!FH27</f>
        <v>188035.01</v>
      </c>
      <c r="KM30" s="923">
        <f t="shared" si="251"/>
        <v>0</v>
      </c>
      <c r="KN30" s="812"/>
      <c r="KO30" s="813"/>
      <c r="KP30" s="1217">
        <f t="shared" si="226"/>
        <v>880563.62</v>
      </c>
      <c r="KQ30" s="754">
        <f>[1]Субсидия_факт!OD27</f>
        <v>533720</v>
      </c>
      <c r="KR30" s="764">
        <f>[1]Субсидия_факт!OJ27</f>
        <v>194713.62</v>
      </c>
      <c r="KS30" s="754">
        <f>[1]Субсидия_факт!OR27</f>
        <v>55306.51</v>
      </c>
      <c r="KT30" s="764">
        <f>[1]Субсидия_факт!OT27</f>
        <v>96823.49</v>
      </c>
      <c r="KU30" s="1217">
        <f t="shared" si="91"/>
        <v>0</v>
      </c>
      <c r="KV30" s="806"/>
      <c r="KW30" s="813"/>
      <c r="KX30" s="806"/>
      <c r="KY30" s="813"/>
      <c r="KZ30" s="1217">
        <f t="shared" si="227"/>
        <v>55430</v>
      </c>
      <c r="LA30" s="789">
        <f>[1]Субсидия_факт!OF27</f>
        <v>55430</v>
      </c>
      <c r="LB30" s="767">
        <f>[1]Субсидия_факт!OL27</f>
        <v>0</v>
      </c>
      <c r="LC30" s="789"/>
      <c r="LD30" s="767"/>
      <c r="LE30" s="1217">
        <f t="shared" si="92"/>
        <v>0</v>
      </c>
      <c r="LF30" s="806"/>
      <c r="LG30" s="813"/>
      <c r="LH30" s="806"/>
      <c r="LI30" s="813"/>
      <c r="LJ30" s="1285">
        <f t="shared" si="93"/>
        <v>-41270</v>
      </c>
      <c r="LK30" s="789">
        <f t="shared" si="259"/>
        <v>-41270</v>
      </c>
      <c r="LL30" s="767">
        <f t="shared" si="259"/>
        <v>0</v>
      </c>
      <c r="LM30" s="1219">
        <f t="shared" si="95"/>
        <v>0</v>
      </c>
      <c r="LN30" s="789">
        <f t="shared" si="260"/>
        <v>0</v>
      </c>
      <c r="LO30" s="767">
        <f t="shared" si="260"/>
        <v>0</v>
      </c>
      <c r="LP30" s="1285">
        <f t="shared" si="97"/>
        <v>96700</v>
      </c>
      <c r="LQ30" s="763">
        <f>[1]Субсидия_факт!OH27</f>
        <v>96700</v>
      </c>
      <c r="LR30" s="762">
        <f>[1]Субсидия_факт!ON27</f>
        <v>0</v>
      </c>
      <c r="LS30" s="1285">
        <f t="shared" si="98"/>
        <v>0</v>
      </c>
      <c r="LT30" s="810"/>
      <c r="LU30" s="813"/>
      <c r="LV30" s="1273">
        <f t="shared" si="228"/>
        <v>0</v>
      </c>
      <c r="LW30" s="769">
        <f>[1]Субсидия_факт!DP27</f>
        <v>0</v>
      </c>
      <c r="LX30" s="754">
        <f>[1]Субсидия_факт!CB27</f>
        <v>0</v>
      </c>
      <c r="LY30" s="764">
        <f>[1]Субсидия_факт!CH27</f>
        <v>0</v>
      </c>
      <c r="LZ30" s="1273">
        <f t="shared" si="99"/>
        <v>0</v>
      </c>
      <c r="MA30" s="814"/>
      <c r="MB30" s="806"/>
      <c r="MC30" s="813"/>
      <c r="MD30" s="1273">
        <f t="shared" si="229"/>
        <v>0</v>
      </c>
      <c r="ME30" s="769">
        <f>[1]Субсидия_факт!DR27</f>
        <v>0</v>
      </c>
      <c r="MF30" s="754">
        <f>[1]Субсидия_факт!CD27</f>
        <v>0</v>
      </c>
      <c r="MG30" s="764">
        <f>[1]Субсидия_факт!CJ27</f>
        <v>0</v>
      </c>
      <c r="MH30" s="1273">
        <f t="shared" si="100"/>
        <v>0</v>
      </c>
      <c r="MI30" s="814"/>
      <c r="MJ30" s="806"/>
      <c r="MK30" s="811"/>
      <c r="ML30" s="1281">
        <f t="shared" si="101"/>
        <v>0</v>
      </c>
      <c r="MM30" s="827">
        <f>'Проверочная  таблица'!ME30-MU30</f>
        <v>0</v>
      </c>
      <c r="MN30" s="827">
        <f>'Проверочная  таблица'!MF30-MV30</f>
        <v>0</v>
      </c>
      <c r="MO30" s="828">
        <f>'Проверочная  таблица'!MG30-MW30</f>
        <v>0</v>
      </c>
      <c r="MP30" s="1281">
        <f t="shared" si="102"/>
        <v>0</v>
      </c>
      <c r="MQ30" s="827">
        <f>'Проверочная  таблица'!MI30-MY30</f>
        <v>0</v>
      </c>
      <c r="MR30" s="827">
        <f>'Проверочная  таблица'!MJ30-MZ30</f>
        <v>0</v>
      </c>
      <c r="MS30" s="828">
        <f>'Проверочная  таблица'!MK30-NA30</f>
        <v>0</v>
      </c>
      <c r="MT30" s="1281">
        <f t="shared" si="103"/>
        <v>0</v>
      </c>
      <c r="MU30" s="754">
        <f>[1]Субсидия_факт!DT27</f>
        <v>0</v>
      </c>
      <c r="MV30" s="754">
        <f>[1]Субсидия_факт!CF27</f>
        <v>0</v>
      </c>
      <c r="MW30" s="764">
        <f>[1]Субсидия_факт!CL27</f>
        <v>0</v>
      </c>
      <c r="MX30" s="1281">
        <f t="shared" si="104"/>
        <v>0</v>
      </c>
      <c r="MY30" s="806"/>
      <c r="MZ30" s="806"/>
      <c r="NA30" s="813"/>
      <c r="NB30" s="1224">
        <f t="shared" si="230"/>
        <v>254101.37</v>
      </c>
      <c r="NC30" s="754">
        <f>[1]Субсидия_факт!CN27</f>
        <v>0</v>
      </c>
      <c r="ND30" s="762">
        <f>[1]Субсидия_факт!CP27</f>
        <v>0</v>
      </c>
      <c r="NE30" s="827">
        <f>[1]Субсидия_факт!CR27</f>
        <v>0</v>
      </c>
      <c r="NF30" s="828">
        <f>[1]Субсидия_факт!CT27</f>
        <v>0</v>
      </c>
      <c r="NG30" s="755">
        <f>[1]Субсидия_факт!DV27</f>
        <v>0</v>
      </c>
      <c r="NH30" s="763">
        <f>[1]Субсидия_факт!FJ27</f>
        <v>66066.359999999986</v>
      </c>
      <c r="NI30" s="762">
        <f>[1]Субсидия_факт!FP27</f>
        <v>188035.01</v>
      </c>
      <c r="NJ30" s="910">
        <f t="shared" si="105"/>
        <v>254101.37</v>
      </c>
      <c r="NK30" s="806"/>
      <c r="NL30" s="813"/>
      <c r="NM30" s="806"/>
      <c r="NN30" s="832"/>
      <c r="NO30" s="806"/>
      <c r="NP30" s="806">
        <v>66066.350000000006</v>
      </c>
      <c r="NQ30" s="813">
        <v>188035.02</v>
      </c>
      <c r="NR30" s="910">
        <f t="shared" si="231"/>
        <v>0</v>
      </c>
      <c r="NS30" s="763">
        <f>[1]Субсидия_факт!FL27</f>
        <v>0</v>
      </c>
      <c r="NT30" s="762">
        <f>[1]Субсидия_факт!FR27</f>
        <v>0</v>
      </c>
      <c r="NU30" s="910">
        <f t="shared" si="106"/>
        <v>0</v>
      </c>
      <c r="NV30" s="810"/>
      <c r="NW30" s="813"/>
      <c r="NX30" s="782">
        <f t="shared" si="107"/>
        <v>0</v>
      </c>
      <c r="NY30" s="812">
        <f>'Проверочная  таблица'!NS30-OE30</f>
        <v>0</v>
      </c>
      <c r="NZ30" s="813">
        <f>'Проверочная  таблица'!NT30-OF30</f>
        <v>0</v>
      </c>
      <c r="OA30" s="782">
        <f t="shared" si="108"/>
        <v>0</v>
      </c>
      <c r="OB30" s="806">
        <f>'Проверочная  таблица'!NV30-OH30</f>
        <v>0</v>
      </c>
      <c r="OC30" s="833">
        <f>'Проверочная  таблица'!NW30-OI30</f>
        <v>0</v>
      </c>
      <c r="OD30" s="782">
        <f t="shared" si="232"/>
        <v>0</v>
      </c>
      <c r="OE30" s="763">
        <f>[1]Субсидия_факт!FN27</f>
        <v>0</v>
      </c>
      <c r="OF30" s="762">
        <f>[1]Субсидия_факт!FT27</f>
        <v>0</v>
      </c>
      <c r="OG30" s="782">
        <f t="shared" si="252"/>
        <v>0</v>
      </c>
      <c r="OH30" s="806"/>
      <c r="OI30" s="813"/>
      <c r="OJ30" s="930">
        <f t="shared" si="233"/>
        <v>0</v>
      </c>
      <c r="OK30" s="763">
        <f>[1]Субсидия_факт!AR27</f>
        <v>0</v>
      </c>
      <c r="OL30" s="762">
        <f>[1]Субсидия_факт!AT27</f>
        <v>0</v>
      </c>
      <c r="OM30" s="763">
        <f>[1]Субсидия_факт!AV27</f>
        <v>0</v>
      </c>
      <c r="ON30" s="921">
        <f t="shared" si="110"/>
        <v>0</v>
      </c>
      <c r="OO30" s="806"/>
      <c r="OP30" s="813"/>
      <c r="OQ30" s="806"/>
      <c r="OR30" s="1238">
        <f t="shared" si="111"/>
        <v>28806720.619999997</v>
      </c>
      <c r="OS30" s="763">
        <f>[1]Субсидия_факт!GD27</f>
        <v>15600000</v>
      </c>
      <c r="OT30" s="762">
        <f>[1]Субсидия_факт!GJ27</f>
        <v>13206720.619999999</v>
      </c>
      <c r="OU30" s="770">
        <f>[1]Субсидия_факт!GP27</f>
        <v>0</v>
      </c>
      <c r="OV30" s="1238">
        <f t="shared" si="112"/>
        <v>0</v>
      </c>
      <c r="OW30" s="810"/>
      <c r="OX30" s="813"/>
      <c r="OY30" s="806"/>
      <c r="OZ30" s="911">
        <f t="shared" si="234"/>
        <v>38658732.519999996</v>
      </c>
      <c r="PA30" s="763">
        <f>[1]Субсидия_факт!GF27</f>
        <v>821052.83999999985</v>
      </c>
      <c r="PB30" s="762">
        <f>[1]Субсидия_факт!GL27</f>
        <v>15600000</v>
      </c>
      <c r="PC30" s="754">
        <f>[1]Субсидия_факт!GR27</f>
        <v>22237679.68</v>
      </c>
      <c r="PD30" s="911">
        <f t="shared" si="113"/>
        <v>18500052.84</v>
      </c>
      <c r="PE30" s="806">
        <v>821052.84</v>
      </c>
      <c r="PF30" s="833">
        <v>15600000</v>
      </c>
      <c r="PG30" s="806">
        <v>2079000</v>
      </c>
      <c r="PH30" s="1285">
        <f t="shared" si="114"/>
        <v>13206720.619999999</v>
      </c>
      <c r="PI30" s="1286">
        <f>'Проверочная  таблица'!PA30-PQ30</f>
        <v>0</v>
      </c>
      <c r="PJ30" s="831">
        <f>'Проверочная  таблица'!PB30-PR30</f>
        <v>0</v>
      </c>
      <c r="PK30" s="1156">
        <f>'Проверочная  таблица'!PC30-PS30</f>
        <v>13206720.619999999</v>
      </c>
      <c r="PL30" s="1285">
        <f t="shared" si="235"/>
        <v>2079000</v>
      </c>
      <c r="PM30" s="810">
        <f>'Проверочная  таблица'!PE30-PU30</f>
        <v>0</v>
      </c>
      <c r="PN30" s="813">
        <f>'Проверочная  таблица'!PF30-PV30</f>
        <v>0</v>
      </c>
      <c r="PO30" s="806">
        <f>'Проверочная  таблица'!PG30-PW30</f>
        <v>2079000</v>
      </c>
      <c r="PP30" s="1285">
        <f t="shared" si="115"/>
        <v>25452011.899999999</v>
      </c>
      <c r="PQ30" s="763">
        <f>[1]Субсидия_факт!GH27</f>
        <v>821052.83999999985</v>
      </c>
      <c r="PR30" s="762">
        <f>[1]Субсидия_факт!GN27</f>
        <v>15600000</v>
      </c>
      <c r="PS30" s="763">
        <f>[1]Субсидия_факт!GT27</f>
        <v>9030959.0600000005</v>
      </c>
      <c r="PT30" s="1285">
        <f t="shared" si="116"/>
        <v>16421052.84</v>
      </c>
      <c r="PU30" s="755">
        <f t="shared" si="193"/>
        <v>821052.84</v>
      </c>
      <c r="PV30" s="764">
        <f t="shared" si="194"/>
        <v>15600000</v>
      </c>
      <c r="PW30" s="812"/>
      <c r="PX30" s="910">
        <f t="shared" si="195"/>
        <v>0</v>
      </c>
      <c r="PY30" s="827">
        <f>[1]Субсидия_факт!JB27</f>
        <v>0</v>
      </c>
      <c r="PZ30" s="828">
        <f>[1]Субсидия_факт!JH27</f>
        <v>0</v>
      </c>
      <c r="QA30" s="827"/>
      <c r="QB30" s="828"/>
      <c r="QC30" s="910">
        <f t="shared" si="196"/>
        <v>0</v>
      </c>
      <c r="QD30" s="806"/>
      <c r="QE30" s="832"/>
      <c r="QF30" s="806"/>
      <c r="QG30" s="832"/>
      <c r="QH30" s="921">
        <f t="shared" si="117"/>
        <v>0</v>
      </c>
      <c r="QI30" s="827">
        <f>[1]Субсидия_факт!JD27</f>
        <v>0</v>
      </c>
      <c r="QJ30" s="828">
        <f>[1]Субсидия_факт!JJ27</f>
        <v>0</v>
      </c>
      <c r="QK30" s="1271">
        <f t="shared" si="118"/>
        <v>0</v>
      </c>
      <c r="QL30" s="806"/>
      <c r="QM30" s="832"/>
      <c r="QN30" s="923">
        <f t="shared" si="236"/>
        <v>0</v>
      </c>
      <c r="QO30" s="806">
        <f t="shared" si="262"/>
        <v>0</v>
      </c>
      <c r="QP30" s="813">
        <f t="shared" si="262"/>
        <v>0</v>
      </c>
      <c r="QQ30" s="936">
        <f t="shared" si="120"/>
        <v>0</v>
      </c>
      <c r="QR30" s="827">
        <f t="shared" si="263"/>
        <v>0</v>
      </c>
      <c r="QS30" s="828">
        <f t="shared" si="263"/>
        <v>0</v>
      </c>
      <c r="QT30" s="936">
        <f t="shared" si="122"/>
        <v>0</v>
      </c>
      <c r="QU30" s="827">
        <f>[1]Субсидия_факт!JF27</f>
        <v>0</v>
      </c>
      <c r="QV30" s="828">
        <f>[1]Субсидия_факт!JL27</f>
        <v>0</v>
      </c>
      <c r="QW30" s="923">
        <f t="shared" si="237"/>
        <v>0</v>
      </c>
      <c r="QX30" s="806"/>
      <c r="QY30" s="832"/>
      <c r="QZ30" s="846">
        <f t="shared" si="123"/>
        <v>0</v>
      </c>
      <c r="RA30" s="827">
        <f>[1]Субсидия_факт!CV27</f>
        <v>0</v>
      </c>
      <c r="RB30" s="828">
        <f>[1]Субсидия_факт!CX27</f>
        <v>0</v>
      </c>
      <c r="RC30" s="921">
        <f t="shared" si="124"/>
        <v>0</v>
      </c>
      <c r="RD30" s="827"/>
      <c r="RE30" s="828"/>
      <c r="RF30" s="846">
        <f t="shared" si="125"/>
        <v>0</v>
      </c>
      <c r="RG30" s="827">
        <f>[1]Субсидия_факт!CZ27</f>
        <v>0</v>
      </c>
      <c r="RH30" s="828">
        <f>[1]Субсидия_факт!DF27</f>
        <v>0</v>
      </c>
      <c r="RI30" s="921">
        <f t="shared" si="126"/>
        <v>0</v>
      </c>
      <c r="RJ30" s="827"/>
      <c r="RK30" s="828"/>
      <c r="RL30" s="846">
        <f t="shared" si="127"/>
        <v>0</v>
      </c>
      <c r="RM30" s="827">
        <f>[1]Субсидия_факт!DB27</f>
        <v>0</v>
      </c>
      <c r="RN30" s="828">
        <f>[1]Субсидия_факт!DH27</f>
        <v>0</v>
      </c>
      <c r="RO30" s="921">
        <f t="shared" si="128"/>
        <v>0</v>
      </c>
      <c r="RP30" s="827"/>
      <c r="RQ30" s="828"/>
      <c r="RR30" s="936">
        <f t="shared" si="129"/>
        <v>0</v>
      </c>
      <c r="RS30" s="827">
        <f t="shared" si="264"/>
        <v>0</v>
      </c>
      <c r="RT30" s="828">
        <f t="shared" si="264"/>
        <v>0</v>
      </c>
      <c r="RU30" s="923">
        <f t="shared" si="131"/>
        <v>0</v>
      </c>
      <c r="RV30" s="827">
        <f t="shared" si="265"/>
        <v>0</v>
      </c>
      <c r="RW30" s="828">
        <f t="shared" si="265"/>
        <v>0</v>
      </c>
      <c r="RX30" s="936">
        <f t="shared" si="133"/>
        <v>0</v>
      </c>
      <c r="RY30" s="827">
        <f>[1]Субсидия_факт!DD27</f>
        <v>0</v>
      </c>
      <c r="RZ30" s="828">
        <f>[1]Субсидия_факт!DJ27</f>
        <v>0</v>
      </c>
      <c r="SA30" s="923">
        <f t="shared" si="134"/>
        <v>0</v>
      </c>
      <c r="SB30" s="827"/>
      <c r="SC30" s="828"/>
      <c r="SD30" s="846">
        <f t="shared" si="135"/>
        <v>0</v>
      </c>
      <c r="SE30" s="827">
        <f>[1]Субсидия_факт!DL27</f>
        <v>0</v>
      </c>
      <c r="SF30" s="828">
        <f>[1]Субсидия_факт!DN27</f>
        <v>0</v>
      </c>
      <c r="SG30" s="1271">
        <f t="shared" si="136"/>
        <v>0</v>
      </c>
      <c r="SH30" s="810"/>
      <c r="SI30" s="811"/>
      <c r="SJ30" s="1273">
        <f t="shared" si="238"/>
        <v>0</v>
      </c>
      <c r="SK30" s="812">
        <f>[1]Субсидия_факт!BJ27</f>
        <v>0</v>
      </c>
      <c r="SL30" s="827">
        <f>[1]Субсидия_факт!BF27</f>
        <v>0</v>
      </c>
      <c r="SM30" s="1287">
        <f>[1]Субсидия_факт!BH27</f>
        <v>0</v>
      </c>
      <c r="SN30" s="1273">
        <f t="shared" si="137"/>
        <v>0</v>
      </c>
      <c r="SO30" s="814"/>
      <c r="SP30" s="810"/>
      <c r="SQ30" s="811"/>
      <c r="SR30" s="846">
        <f t="shared" si="138"/>
        <v>0</v>
      </c>
      <c r="SS30" s="827">
        <f>[1]Субсидия_факт!AD27</f>
        <v>0</v>
      </c>
      <c r="ST30" s="828">
        <f>[1]Субсидия_факт!AF27</f>
        <v>0</v>
      </c>
      <c r="SU30" s="921">
        <f t="shared" si="139"/>
        <v>0</v>
      </c>
      <c r="SV30" s="810"/>
      <c r="SW30" s="811"/>
      <c r="SX30" s="842">
        <f t="shared" si="239"/>
        <v>0</v>
      </c>
      <c r="SY30" s="827">
        <f>[1]Субсидия_факт!ID27</f>
        <v>0</v>
      </c>
      <c r="SZ30" s="828">
        <f>[1]Субсидия_факт!IJ27</f>
        <v>0</v>
      </c>
      <c r="TA30" s="822">
        <f>[1]Субсидия_факт!IP27</f>
        <v>0</v>
      </c>
      <c r="TB30" s="828">
        <f>[1]Субсидия_факт!IV27</f>
        <v>0</v>
      </c>
      <c r="TC30" s="1288">
        <f>[1]Субсидия_факт!JZ27</f>
        <v>0</v>
      </c>
      <c r="TD30" s="1287">
        <f>[1]Субсидия_факт!KF27</f>
        <v>0</v>
      </c>
      <c r="TE30" s="1273">
        <f t="shared" si="140"/>
        <v>0</v>
      </c>
      <c r="TF30" s="1289"/>
      <c r="TG30" s="1157"/>
      <c r="TH30" s="1289"/>
      <c r="TI30" s="1157"/>
      <c r="TJ30" s="922"/>
      <c r="TK30" s="811"/>
      <c r="TL30" s="846">
        <f t="shared" si="141"/>
        <v>9527883.2599999998</v>
      </c>
      <c r="TM30" s="827">
        <f>[1]Субсидия_факт!IF27</f>
        <v>476394.16000000015</v>
      </c>
      <c r="TN30" s="828">
        <f>[1]Субсидия_факт!IL27</f>
        <v>9051489.0999999996</v>
      </c>
      <c r="TO30" s="822">
        <f>[1]Субсидия_факт!IR27</f>
        <v>0</v>
      </c>
      <c r="TP30" s="828">
        <f>[1]Субсидия_факт!IX27</f>
        <v>0</v>
      </c>
      <c r="TQ30" s="822">
        <f>[1]Субсидия_факт!KB27</f>
        <v>0</v>
      </c>
      <c r="TR30" s="828">
        <f>[1]Субсидия_факт!KH27</f>
        <v>0</v>
      </c>
      <c r="TS30" s="921">
        <f t="shared" si="142"/>
        <v>2435114.3400000003</v>
      </c>
      <c r="TT30" s="806">
        <v>121755.72</v>
      </c>
      <c r="TU30" s="832">
        <v>2313358.62</v>
      </c>
      <c r="TV30" s="1290"/>
      <c r="TW30" s="1157"/>
      <c r="TX30" s="806"/>
      <c r="TY30" s="832"/>
      <c r="TZ30" s="923">
        <f t="shared" si="143"/>
        <v>9527883.2599999998</v>
      </c>
      <c r="UA30" s="812">
        <f t="shared" si="266"/>
        <v>476394.16000000015</v>
      </c>
      <c r="UB30" s="813">
        <f t="shared" si="266"/>
        <v>9051489.0999999996</v>
      </c>
      <c r="UC30" s="812">
        <f t="shared" si="266"/>
        <v>0</v>
      </c>
      <c r="UD30" s="813">
        <f t="shared" si="266"/>
        <v>0</v>
      </c>
      <c r="UE30" s="810">
        <f t="shared" si="266"/>
        <v>0</v>
      </c>
      <c r="UF30" s="813">
        <f t="shared" si="266"/>
        <v>0</v>
      </c>
      <c r="UG30" s="923">
        <f t="shared" si="145"/>
        <v>2435114.3400000003</v>
      </c>
      <c r="UH30" s="812">
        <f t="shared" si="267"/>
        <v>121755.72</v>
      </c>
      <c r="UI30" s="813">
        <f t="shared" si="267"/>
        <v>2313358.62</v>
      </c>
      <c r="UJ30" s="812">
        <f t="shared" si="267"/>
        <v>0</v>
      </c>
      <c r="UK30" s="813">
        <f t="shared" si="267"/>
        <v>0</v>
      </c>
      <c r="UL30" s="810">
        <f t="shared" si="267"/>
        <v>0</v>
      </c>
      <c r="UM30" s="813">
        <f t="shared" si="267"/>
        <v>0</v>
      </c>
      <c r="UN30" s="936">
        <f t="shared" si="147"/>
        <v>0</v>
      </c>
      <c r="UO30" s="827">
        <f>[1]Субсидия_факт!IH27</f>
        <v>0</v>
      </c>
      <c r="UP30" s="828">
        <f>[1]Субсидия_факт!IN27</f>
        <v>0</v>
      </c>
      <c r="UQ30" s="822">
        <f>[1]Субсидия_факт!IT27</f>
        <v>0</v>
      </c>
      <c r="UR30" s="828">
        <f>[1]Субсидия_факт!IZ27</f>
        <v>0</v>
      </c>
      <c r="US30" s="822">
        <f>[1]Субсидия_факт!KD27</f>
        <v>0</v>
      </c>
      <c r="UT30" s="828">
        <f>[1]Субсидия_факт!KJ27</f>
        <v>0</v>
      </c>
      <c r="UU30" s="923">
        <f t="shared" si="148"/>
        <v>0</v>
      </c>
      <c r="UV30" s="1290"/>
      <c r="UW30" s="1157"/>
      <c r="UX30" s="1290"/>
      <c r="UY30" s="1157"/>
      <c r="UZ30" s="1290"/>
      <c r="VA30" s="1157"/>
      <c r="VB30" s="1263">
        <f>'Прочая  субсидия_МР  и  ГО'!B25</f>
        <v>88021847.170000002</v>
      </c>
      <c r="VC30" s="1263">
        <f>'Прочая  субсидия_МР  и  ГО'!C25</f>
        <v>13707574.27</v>
      </c>
      <c r="VD30" s="1266">
        <f>'Прочая  субсидия_БП'!B25</f>
        <v>17110062.870000001</v>
      </c>
      <c r="VE30" s="1260">
        <f>'Прочая  субсидия_БП'!C25</f>
        <v>4074529.5500000003</v>
      </c>
      <c r="VF30" s="1291">
        <f>'Прочая  субсидия_БП'!D25</f>
        <v>7063832.6600000001</v>
      </c>
      <c r="VG30" s="1292">
        <f>'Прочая  субсидия_БП'!E25</f>
        <v>3128732.1</v>
      </c>
      <c r="VH30" s="1293">
        <f>'Прочая  субсидия_БП'!F25</f>
        <v>10046230.209999999</v>
      </c>
      <c r="VI30" s="1291">
        <f>'Прочая  субсидия_БП'!G25</f>
        <v>945797.45</v>
      </c>
      <c r="VJ30" s="842">
        <f t="shared" si="149"/>
        <v>442526626.91000003</v>
      </c>
      <c r="VK30" s="821">
        <f>'Проверочная  таблица'!WM30+'Проверочная  таблица'!VP30+'Проверочная  таблица'!VR30+WG30</f>
        <v>427897450.75</v>
      </c>
      <c r="VL30" s="1294">
        <f>'Проверочная  таблица'!WN30+'Проверочная  таблица'!VV30+'Проверочная  таблица'!WB30+'Проверочная  таблица'!VX30+'Проверочная  таблица'!VZ30+WD30+WH30+VT30</f>
        <v>14629176.16</v>
      </c>
      <c r="VM30" s="1273">
        <f t="shared" si="150"/>
        <v>225901334.59</v>
      </c>
      <c r="VN30" s="821">
        <f>'Проверочная  таблица'!WP30+'Проверочная  таблица'!VQ30+'Проверочная  таблица'!VS30+WJ30</f>
        <v>218422945.84</v>
      </c>
      <c r="VO30" s="1294">
        <f>'Проверочная  таблица'!WQ30+'Проверочная  таблица'!VW30+'Проверочная  таблица'!WC30+'Проверочная  таблица'!VY30+'Проверочная  таблица'!WA30+WE30+WK30+VU30</f>
        <v>7478388.75</v>
      </c>
      <c r="VP30" s="1282">
        <f>'Субвенция  на  полномочия'!B25</f>
        <v>410897698.43000001</v>
      </c>
      <c r="VQ30" s="1274">
        <f>'Субвенция  на  полномочия'!C25</f>
        <v>209037196.96000001</v>
      </c>
      <c r="VR30" s="823">
        <f>[1]Субвенция_факт!M26*1000</f>
        <v>11268918</v>
      </c>
      <c r="VS30" s="834">
        <v>6120000</v>
      </c>
      <c r="VT30" s="823">
        <f>[1]Субвенция_факт!AE26*1000</f>
        <v>0</v>
      </c>
      <c r="VU30" s="834"/>
      <c r="VV30" s="823">
        <f>[1]Субвенция_факт!AF26*1000</f>
        <v>3193500</v>
      </c>
      <c r="VW30" s="834">
        <f>ВУС!E206</f>
        <v>1261713.25</v>
      </c>
      <c r="VX30" s="1295">
        <f>[1]Субвенция_факт!AG26*1000</f>
        <v>0</v>
      </c>
      <c r="VY30" s="835"/>
      <c r="VZ30" s="825">
        <f>[1]Субвенция_факт!E26*1000</f>
        <v>0</v>
      </c>
      <c r="WA30" s="835"/>
      <c r="WB30" s="825">
        <f>[1]Субвенция_факт!F26*1000</f>
        <v>0</v>
      </c>
      <c r="WC30" s="835"/>
      <c r="WD30" s="824">
        <f>[1]Субвенция_факт!G26*1000</f>
        <v>0</v>
      </c>
      <c r="WE30" s="834"/>
      <c r="WF30" s="842">
        <f t="shared" si="151"/>
        <v>13514427.24</v>
      </c>
      <c r="WG30" s="827">
        <f>[1]Субвенция_факт!P26*1000</f>
        <v>3513751.08</v>
      </c>
      <c r="WH30" s="828">
        <f>[1]Субвенция_факт!Q26*1000</f>
        <v>10000676.16</v>
      </c>
      <c r="WI30" s="1273">
        <f t="shared" si="152"/>
        <v>7479803.3700000001</v>
      </c>
      <c r="WJ30" s="821">
        <v>1944748.88</v>
      </c>
      <c r="WK30" s="836">
        <v>5535054.4900000002</v>
      </c>
      <c r="WL30" s="1273">
        <f t="shared" si="153"/>
        <v>3652083.24</v>
      </c>
      <c r="WM30" s="837">
        <f>[1]Субвенция_факт!X26*1000</f>
        <v>2217083.2400000002</v>
      </c>
      <c r="WN30" s="838">
        <f>[1]Субвенция_факт!W26*1000</f>
        <v>1435000</v>
      </c>
      <c r="WO30" s="1273">
        <f t="shared" si="154"/>
        <v>2002621.01</v>
      </c>
      <c r="WP30" s="821">
        <v>1321000</v>
      </c>
      <c r="WQ30" s="836">
        <v>681621.01</v>
      </c>
      <c r="WR30" s="1273">
        <f t="shared" si="240"/>
        <v>107886566.73999999</v>
      </c>
      <c r="WS30" s="1273">
        <f t="shared" si="241"/>
        <v>30937998.57</v>
      </c>
      <c r="WT30" s="1282">
        <f t="shared" si="155"/>
        <v>0</v>
      </c>
      <c r="WU30" s="837">
        <f>'[1]Иные межбюджетные трансферты'!AM27</f>
        <v>0</v>
      </c>
      <c r="WV30" s="838">
        <f>'[1]Иные межбюджетные трансферты'!AO27</f>
        <v>0</v>
      </c>
      <c r="WW30" s="1264">
        <f t="shared" si="156"/>
        <v>0</v>
      </c>
      <c r="WX30" s="837"/>
      <c r="WY30" s="838"/>
      <c r="WZ30" s="1273">
        <f t="shared" si="157"/>
        <v>2426572.25</v>
      </c>
      <c r="XA30" s="837">
        <f>'[1]Иные межбюджетные трансферты'!AI27</f>
        <v>121328.61</v>
      </c>
      <c r="XB30" s="838">
        <f>'[1]Иные межбюджетные трансферты'!AK27</f>
        <v>2305243.64</v>
      </c>
      <c r="XC30" s="1273">
        <f t="shared" si="158"/>
        <v>1415500.47</v>
      </c>
      <c r="XD30" s="837">
        <v>70775.03</v>
      </c>
      <c r="XE30" s="838">
        <v>1344725.44</v>
      </c>
      <c r="XF30" s="1273">
        <f t="shared" si="159"/>
        <v>16832683</v>
      </c>
      <c r="XG30" s="837">
        <f>'[1]Иные межбюджетные трансферты'!I27</f>
        <v>0</v>
      </c>
      <c r="XH30" s="838">
        <f>'[1]Иные межбюджетные трансферты'!K27</f>
        <v>16832683</v>
      </c>
      <c r="XI30" s="847">
        <f t="shared" si="242"/>
        <v>15201000</v>
      </c>
      <c r="XJ30" s="839"/>
      <c r="XK30" s="840">
        <v>15201000</v>
      </c>
      <c r="XL30" s="1273">
        <f t="shared" si="161"/>
        <v>0</v>
      </c>
      <c r="XM30" s="822"/>
      <c r="XN30" s="1273">
        <f t="shared" si="162"/>
        <v>0</v>
      </c>
      <c r="XO30" s="822"/>
      <c r="XP30" s="842">
        <f t="shared" si="163"/>
        <v>0</v>
      </c>
      <c r="XQ30" s="827">
        <f>'[1]Иные межбюджетные трансферты'!M27</f>
        <v>0</v>
      </c>
      <c r="XR30" s="1273">
        <f t="shared" si="164"/>
        <v>0</v>
      </c>
      <c r="XS30" s="821"/>
      <c r="XT30" s="1283">
        <f t="shared" si="165"/>
        <v>0</v>
      </c>
      <c r="XU30" s="1281">
        <f t="shared" si="166"/>
        <v>0</v>
      </c>
      <c r="XV30" s="1283">
        <f t="shared" si="167"/>
        <v>0</v>
      </c>
      <c r="XW30" s="1281">
        <f t="shared" si="168"/>
        <v>0</v>
      </c>
      <c r="XX30" s="1273">
        <f t="shared" si="243"/>
        <v>79216009.799999997</v>
      </c>
      <c r="XY30" s="1296">
        <f>'[1]Иные межбюджетные трансферты'!E27</f>
        <v>0</v>
      </c>
      <c r="XZ30" s="837">
        <f>'[1]Иные межбюджетные трансферты'!G27</f>
        <v>59306016</v>
      </c>
      <c r="YA30" s="841">
        <f>'[1]Иные межбюджетные трансферты'!Q27</f>
        <v>0</v>
      </c>
      <c r="YB30" s="1296">
        <f>'[1]Иные межбюджетные трансферты'!W27</f>
        <v>0</v>
      </c>
      <c r="YC30" s="841">
        <f>'[1]Иные межбюджетные трансферты'!Y27</f>
        <v>12072900</v>
      </c>
      <c r="YD30" s="1117">
        <f>'[1]Иные межбюджетные трансферты'!AE27</f>
        <v>4548716</v>
      </c>
      <c r="YE30" s="841">
        <f>'[1]Иные межбюджетные трансферты'!AQ27</f>
        <v>0</v>
      </c>
      <c r="YF30" s="827">
        <f>'[1]Иные межбюджетные трансферты'!AW27</f>
        <v>0</v>
      </c>
      <c r="YG30" s="841">
        <f>'[1]Иные межбюджетные трансферты'!AY27</f>
        <v>0</v>
      </c>
      <c r="YH30" s="1117">
        <f>'[1]Иные межбюджетные трансферты'!BA27</f>
        <v>3288377.8</v>
      </c>
      <c r="YI30" s="1273">
        <f t="shared" si="244"/>
        <v>13796793.1</v>
      </c>
      <c r="YJ30" s="841"/>
      <c r="YK30" s="841"/>
      <c r="YL30" s="858"/>
      <c r="YM30" s="841"/>
      <c r="YN30" s="751">
        <f t="shared" si="245"/>
        <v>12072900</v>
      </c>
      <c r="YO30" s="839"/>
      <c r="YP30" s="839"/>
      <c r="YQ30" s="839"/>
      <c r="YR30" s="839"/>
      <c r="YS30" s="1154">
        <v>1723893.1</v>
      </c>
      <c r="YT30" s="1273">
        <f t="shared" si="169"/>
        <v>9411301.6899999995</v>
      </c>
      <c r="YU30" s="837">
        <f>'[1]Иные межбюджетные трансферты'!S27</f>
        <v>524704.99999999988</v>
      </c>
      <c r="YV30" s="841">
        <f>'[1]Иные межбюджетные трансферты'!AA27</f>
        <v>0</v>
      </c>
      <c r="YW30" s="1117">
        <f>'[1]Иные межбюджетные трансферты'!AG27</f>
        <v>0</v>
      </c>
      <c r="YX30" s="1296">
        <f>'[1]Иные межбюджетные трансферты'!AS27</f>
        <v>3425636.5300000003</v>
      </c>
      <c r="YY30" s="1154">
        <f>'[1]Иные межбюджетные трансферты'!BC27</f>
        <v>5460960.1599999992</v>
      </c>
      <c r="YZ30" s="1273">
        <f t="shared" si="170"/>
        <v>524705</v>
      </c>
      <c r="ZA30" s="990">
        <f>215000+309705</f>
        <v>524705</v>
      </c>
      <c r="ZB30" s="769">
        <f t="shared" si="246"/>
        <v>0</v>
      </c>
      <c r="ZC30" s="990"/>
      <c r="ZD30" s="839"/>
      <c r="ZE30" s="829"/>
      <c r="ZF30" s="1281">
        <f t="shared" si="171"/>
        <v>9411301.6899999995</v>
      </c>
      <c r="ZG30" s="880">
        <f>'Проверочная  таблица'!YU30-ZS30</f>
        <v>524704.99999999988</v>
      </c>
      <c r="ZH30" s="880">
        <f>'Проверочная  таблица'!YV30-ZT30</f>
        <v>0</v>
      </c>
      <c r="ZI30" s="880">
        <f>'Проверочная  таблица'!YW30-ZU30</f>
        <v>0</v>
      </c>
      <c r="ZJ30" s="880">
        <f>'Проверочная  таблица'!YX30-ZV30</f>
        <v>3425636.5300000003</v>
      </c>
      <c r="ZK30" s="880">
        <f>'Проверочная  таблица'!YY30-ZW30</f>
        <v>5460960.1599999992</v>
      </c>
      <c r="ZL30" s="1281">
        <f t="shared" si="172"/>
        <v>524705</v>
      </c>
      <c r="ZM30" s="880">
        <f>'Проверочная  таблица'!ZA30-ZY30</f>
        <v>524705</v>
      </c>
      <c r="ZN30" s="880">
        <f>'Проверочная  таблица'!ZB30-ZZ30</f>
        <v>0</v>
      </c>
      <c r="ZO30" s="880">
        <f>'Проверочная  таблица'!ZC30-AAA30</f>
        <v>0</v>
      </c>
      <c r="ZP30" s="880">
        <f>'Проверочная  таблица'!ZD30-AAB30</f>
        <v>0</v>
      </c>
      <c r="ZQ30" s="880">
        <f>'Проверочная  таблица'!ZE30-AAC30</f>
        <v>0</v>
      </c>
      <c r="ZR30" s="1281">
        <f t="shared" si="173"/>
        <v>0</v>
      </c>
      <c r="ZS30" s="837">
        <f>'[1]Иные межбюджетные трансферты'!U27</f>
        <v>0</v>
      </c>
      <c r="ZT30" s="818">
        <f>'[1]Иные межбюджетные трансферты'!AC27</f>
        <v>0</v>
      </c>
      <c r="ZU30" s="1296"/>
      <c r="ZV30" s="837">
        <f>'[1]Иные межбюджетные трансферты'!AU27</f>
        <v>0</v>
      </c>
      <c r="ZW30" s="751">
        <f>'[1]Иные межбюджетные трансферты'!$BE$27</f>
        <v>0</v>
      </c>
      <c r="ZX30" s="1281">
        <f t="shared" si="174"/>
        <v>0</v>
      </c>
      <c r="ZY30" s="769"/>
      <c r="ZZ30" s="769">
        <f t="shared" si="247"/>
        <v>0</v>
      </c>
      <c r="AAA30" s="769"/>
      <c r="AAB30" s="839"/>
      <c r="AAC30" s="829"/>
      <c r="AAD30" s="957">
        <f>AAF30+'Проверочная  таблица'!AAN30+AAJ30+'Проверочная  таблица'!AAR30+AAL30+'Проверочная  таблица'!AAT30</f>
        <v>0</v>
      </c>
      <c r="AAE30" s="957">
        <f>AAG30+'Проверочная  таблица'!AAO30+AAK30+'Проверочная  таблица'!AAS30+AAM30+'Проверочная  таблица'!AAU30</f>
        <v>0</v>
      </c>
      <c r="AAF30" s="842"/>
      <c r="AAG30" s="842"/>
      <c r="AAH30" s="842"/>
      <c r="AAI30" s="842"/>
      <c r="AAJ30" s="1297">
        <f t="shared" si="175"/>
        <v>0</v>
      </c>
      <c r="AAK30" s="844">
        <f t="shared" si="175"/>
        <v>0</v>
      </c>
      <c r="AAL30" s="843"/>
      <c r="AAM30" s="844"/>
      <c r="AAN30" s="842"/>
      <c r="AAO30" s="842"/>
      <c r="AAP30" s="842"/>
      <c r="AAQ30" s="842"/>
      <c r="AAR30" s="1297">
        <f t="shared" si="176"/>
        <v>0</v>
      </c>
      <c r="AAS30" s="844">
        <f t="shared" si="176"/>
        <v>0</v>
      </c>
      <c r="AAT30" s="844"/>
      <c r="AAU30" s="844"/>
      <c r="AAV30" s="1246">
        <f>'Проверочная  таблица'!AAN30+'Проверочная  таблица'!AAP30</f>
        <v>0</v>
      </c>
      <c r="AAW30" s="1246">
        <f>'Проверочная  таблица'!AAO30+'Проверочная  таблица'!AAQ30</f>
        <v>0</v>
      </c>
    </row>
    <row r="31" spans="1:725" ht="24" customHeight="1" thickBot="1" x14ac:dyDescent="0.3">
      <c r="A31" s="845" t="s">
        <v>336</v>
      </c>
      <c r="B31" s="846">
        <f t="shared" ref="B31:BR31" si="268">SUM(B13:B30)</f>
        <v>22599448902.110001</v>
      </c>
      <c r="C31" s="847">
        <f t="shared" si="268"/>
        <v>8855437711.4699993</v>
      </c>
      <c r="D31" s="848">
        <f t="shared" si="268"/>
        <v>3540537187.5400009</v>
      </c>
      <c r="E31" s="849">
        <f t="shared" si="268"/>
        <v>1582402618.4200001</v>
      </c>
      <c r="F31" s="850">
        <f t="shared" si="268"/>
        <v>1475697965</v>
      </c>
      <c r="G31" s="851">
        <f t="shared" si="268"/>
        <v>729636790</v>
      </c>
      <c r="H31" s="850">
        <f t="shared" si="268"/>
        <v>593090602.53999996</v>
      </c>
      <c r="I31" s="851">
        <f t="shared" si="268"/>
        <v>304169347.85000002</v>
      </c>
      <c r="J31" s="852">
        <f t="shared" si="268"/>
        <v>442904535.07999998</v>
      </c>
      <c r="K31" s="853">
        <f t="shared" si="268"/>
        <v>228915137.84999999</v>
      </c>
      <c r="L31" s="852">
        <f t="shared" si="268"/>
        <v>150186067.45999998</v>
      </c>
      <c r="M31" s="853">
        <f t="shared" si="268"/>
        <v>75254210</v>
      </c>
      <c r="N31" s="850">
        <f t="shared" si="268"/>
        <v>296617000</v>
      </c>
      <c r="O31" s="851">
        <f t="shared" si="268"/>
        <v>55397247</v>
      </c>
      <c r="P31" s="850">
        <f t="shared" si="268"/>
        <v>1149431620</v>
      </c>
      <c r="Q31" s="851">
        <f t="shared" si="268"/>
        <v>478999233.56999999</v>
      </c>
      <c r="R31" s="852">
        <f t="shared" si="268"/>
        <v>601255632</v>
      </c>
      <c r="S31" s="853">
        <f t="shared" si="268"/>
        <v>274338805.56999999</v>
      </c>
      <c r="T31" s="852">
        <f t="shared" si="268"/>
        <v>548175988</v>
      </c>
      <c r="U31" s="853">
        <f t="shared" si="268"/>
        <v>204660428</v>
      </c>
      <c r="V31" s="850">
        <f t="shared" ref="V31" si="269">SUM(V13:V30)</f>
        <v>14200000</v>
      </c>
      <c r="W31" s="855">
        <f t="shared" ref="W31" si="270">SUM(W13:W30)</f>
        <v>6000000</v>
      </c>
      <c r="X31" s="854">
        <f t="shared" ref="X31:Y31" si="271">SUM(X13:X30)</f>
        <v>8200000</v>
      </c>
      <c r="Y31" s="854">
        <f t="shared" si="271"/>
        <v>0</v>
      </c>
      <c r="Z31" s="1111">
        <f t="shared" si="268"/>
        <v>14200000</v>
      </c>
      <c r="AA31" s="1112">
        <f t="shared" si="268"/>
        <v>6000000</v>
      </c>
      <c r="AB31" s="854">
        <f t="shared" ref="AB31" si="272">SUM(AB13:AB30)</f>
        <v>8200000</v>
      </c>
      <c r="AC31" s="1114">
        <f t="shared" si="268"/>
        <v>0</v>
      </c>
      <c r="AD31" s="850">
        <f t="shared" ref="AD31" si="273">SUM(AD13:AD30)</f>
        <v>11500000</v>
      </c>
      <c r="AE31" s="1109">
        <f t="shared" ref="AE31:AF31" si="274">SUM(AE13:AE30)</f>
        <v>8500000</v>
      </c>
      <c r="AF31" s="1110">
        <f t="shared" si="274"/>
        <v>3000000</v>
      </c>
      <c r="AG31" s="850">
        <f t="shared" si="268"/>
        <v>0</v>
      </c>
      <c r="AH31" s="855">
        <f t="shared" si="268"/>
        <v>0</v>
      </c>
      <c r="AI31" s="854">
        <f t="shared" si="268"/>
        <v>0</v>
      </c>
      <c r="AJ31" s="852">
        <f t="shared" si="268"/>
        <v>8500000</v>
      </c>
      <c r="AK31" s="853">
        <f t="shared" si="268"/>
        <v>0</v>
      </c>
      <c r="AL31" s="852">
        <f t="shared" si="268"/>
        <v>3000000</v>
      </c>
      <c r="AM31" s="852">
        <f t="shared" si="268"/>
        <v>0</v>
      </c>
      <c r="AN31" s="856">
        <f t="shared" si="268"/>
        <v>9136788482.7900009</v>
      </c>
      <c r="AO31" s="849">
        <f t="shared" si="268"/>
        <v>1871647477.3</v>
      </c>
      <c r="AP31" s="857">
        <f t="shared" si="268"/>
        <v>903325929.78000009</v>
      </c>
      <c r="AQ31" s="858">
        <f t="shared" si="268"/>
        <v>865675729.78000009</v>
      </c>
      <c r="AR31" s="829">
        <f t="shared" si="268"/>
        <v>37650200</v>
      </c>
      <c r="AS31" s="857">
        <f t="shared" si="268"/>
        <v>141584288.18999997</v>
      </c>
      <c r="AT31" s="859">
        <f t="shared" si="268"/>
        <v>141584288.18999997</v>
      </c>
      <c r="AU31" s="860">
        <f t="shared" si="268"/>
        <v>0</v>
      </c>
      <c r="AV31" s="849">
        <f t="shared" si="268"/>
        <v>91624576.299999997</v>
      </c>
      <c r="AW31" s="861">
        <f t="shared" si="268"/>
        <v>91624576.299999997</v>
      </c>
      <c r="AX31" s="857">
        <f t="shared" si="268"/>
        <v>0</v>
      </c>
      <c r="AY31" s="859">
        <f t="shared" si="268"/>
        <v>0</v>
      </c>
      <c r="AZ31" s="862">
        <f t="shared" si="268"/>
        <v>91624576.299999997</v>
      </c>
      <c r="BA31" s="859">
        <f t="shared" si="268"/>
        <v>91624576.299999997</v>
      </c>
      <c r="BB31" s="863">
        <f t="shared" si="268"/>
        <v>0</v>
      </c>
      <c r="BC31" s="860">
        <f t="shared" si="268"/>
        <v>0</v>
      </c>
      <c r="BD31" s="862">
        <f t="shared" si="268"/>
        <v>0</v>
      </c>
      <c r="BE31" s="859">
        <f t="shared" si="268"/>
        <v>0</v>
      </c>
      <c r="BF31" s="862">
        <f t="shared" si="268"/>
        <v>0</v>
      </c>
      <c r="BG31" s="864">
        <f t="shared" si="268"/>
        <v>0</v>
      </c>
      <c r="BH31" s="857">
        <f t="shared" si="268"/>
        <v>202747551.59999999</v>
      </c>
      <c r="BI31" s="829">
        <f t="shared" si="268"/>
        <v>202747551.59999999</v>
      </c>
      <c r="BJ31" s="857">
        <f t="shared" si="268"/>
        <v>6984132.5199999996</v>
      </c>
      <c r="BK31" s="864">
        <f t="shared" si="268"/>
        <v>6984132.5199999996</v>
      </c>
      <c r="BL31" s="857">
        <f t="shared" si="268"/>
        <v>212375065.56999999</v>
      </c>
      <c r="BM31" s="864">
        <f t="shared" si="268"/>
        <v>212375065.56999999</v>
      </c>
      <c r="BN31" s="847">
        <f t="shared" si="268"/>
        <v>59325881.299999997</v>
      </c>
      <c r="BO31" s="864">
        <f t="shared" si="268"/>
        <v>59325881.299999997</v>
      </c>
      <c r="BP31" s="865">
        <f t="shared" si="268"/>
        <v>0</v>
      </c>
      <c r="BQ31" s="866">
        <f t="shared" si="268"/>
        <v>0</v>
      </c>
      <c r="BR31" s="867">
        <f t="shared" si="268"/>
        <v>212375065.56999999</v>
      </c>
      <c r="BS31" s="866">
        <f t="shared" ref="BS31:ED31" si="275">SUM(BS13:BS30)</f>
        <v>59325881.299999997</v>
      </c>
      <c r="BT31" s="848">
        <f t="shared" si="275"/>
        <v>0</v>
      </c>
      <c r="BU31" s="847">
        <f t="shared" si="275"/>
        <v>0</v>
      </c>
      <c r="BV31" s="868">
        <f t="shared" si="275"/>
        <v>0</v>
      </c>
      <c r="BW31" s="847">
        <f t="shared" si="275"/>
        <v>0</v>
      </c>
      <c r="BX31" s="869">
        <f t="shared" si="275"/>
        <v>0</v>
      </c>
      <c r="BY31" s="870">
        <f t="shared" si="275"/>
        <v>0</v>
      </c>
      <c r="BZ31" s="871">
        <f t="shared" si="275"/>
        <v>0</v>
      </c>
      <c r="CA31" s="867">
        <f t="shared" si="275"/>
        <v>0</v>
      </c>
      <c r="CB31" s="849">
        <f t="shared" si="275"/>
        <v>1181351729.78</v>
      </c>
      <c r="CC31" s="880">
        <f t="shared" si="275"/>
        <v>865675729.78000009</v>
      </c>
      <c r="CD31" s="829">
        <f t="shared" si="275"/>
        <v>315676000</v>
      </c>
      <c r="CE31" s="857">
        <f t="shared" si="275"/>
        <v>3599000</v>
      </c>
      <c r="CF31" s="859">
        <f t="shared" si="275"/>
        <v>0</v>
      </c>
      <c r="CG31" s="864">
        <f t="shared" si="275"/>
        <v>3599000</v>
      </c>
      <c r="CH31" s="872">
        <f t="shared" si="275"/>
        <v>0</v>
      </c>
      <c r="CI31" s="848">
        <f t="shared" si="275"/>
        <v>0</v>
      </c>
      <c r="CJ31" s="849">
        <f t="shared" si="275"/>
        <v>0</v>
      </c>
      <c r="CK31" s="849">
        <f t="shared" si="275"/>
        <v>0</v>
      </c>
      <c r="CL31" s="873">
        <f t="shared" si="275"/>
        <v>0</v>
      </c>
      <c r="CM31" s="873">
        <f t="shared" si="275"/>
        <v>0</v>
      </c>
      <c r="CN31" s="873">
        <f t="shared" si="275"/>
        <v>0</v>
      </c>
      <c r="CO31" s="873">
        <f t="shared" si="275"/>
        <v>0</v>
      </c>
      <c r="CP31" s="849">
        <f t="shared" si="275"/>
        <v>423302330.55999988</v>
      </c>
      <c r="CQ31" s="829">
        <f t="shared" si="275"/>
        <v>225412961.30000001</v>
      </c>
      <c r="CR31" s="829">
        <f t="shared" si="275"/>
        <v>197889369.26000002</v>
      </c>
      <c r="CS31" s="857">
        <f t="shared" si="275"/>
        <v>1698440.66</v>
      </c>
      <c r="CT31" s="859">
        <f t="shared" si="275"/>
        <v>0</v>
      </c>
      <c r="CU31" s="859">
        <f t="shared" si="275"/>
        <v>1698440.66</v>
      </c>
      <c r="CV31" s="857">
        <f t="shared" si="275"/>
        <v>297713181.41000003</v>
      </c>
      <c r="CW31" s="874">
        <f t="shared" si="275"/>
        <v>742629.11</v>
      </c>
      <c r="CX31" s="875">
        <f t="shared" si="275"/>
        <v>243864.57</v>
      </c>
      <c r="CY31" s="864">
        <f t="shared" si="275"/>
        <v>14500000</v>
      </c>
      <c r="CZ31" s="876">
        <f t="shared" si="275"/>
        <v>275500000</v>
      </c>
      <c r="DA31" s="864">
        <f t="shared" si="275"/>
        <v>6726687.7300000004</v>
      </c>
      <c r="DB31" s="876">
        <f t="shared" si="275"/>
        <v>0</v>
      </c>
      <c r="DC31" s="857">
        <f t="shared" si="275"/>
        <v>87232661.799999997</v>
      </c>
      <c r="DD31" s="877">
        <f t="shared" si="275"/>
        <v>0</v>
      </c>
      <c r="DE31" s="875">
        <f t="shared" si="275"/>
        <v>0</v>
      </c>
      <c r="DF31" s="864">
        <f t="shared" si="275"/>
        <v>4361633.09</v>
      </c>
      <c r="DG31" s="876">
        <f t="shared" si="275"/>
        <v>82871028.709999993</v>
      </c>
      <c r="DH31" s="864">
        <f t="shared" si="275"/>
        <v>0</v>
      </c>
      <c r="DI31" s="876">
        <f t="shared" si="275"/>
        <v>0</v>
      </c>
      <c r="DJ31" s="849">
        <f t="shared" si="275"/>
        <v>19567142.100000001</v>
      </c>
      <c r="DK31" s="864">
        <f t="shared" si="275"/>
        <v>3729042.1000000015</v>
      </c>
      <c r="DL31" s="878">
        <f t="shared" si="275"/>
        <v>15838100</v>
      </c>
      <c r="DM31" s="857">
        <f t="shared" si="275"/>
        <v>0</v>
      </c>
      <c r="DN31" s="864">
        <f t="shared" si="275"/>
        <v>0</v>
      </c>
      <c r="DO31" s="879">
        <f t="shared" si="275"/>
        <v>0</v>
      </c>
      <c r="DP31" s="866">
        <f t="shared" si="275"/>
        <v>0</v>
      </c>
      <c r="DQ31" s="866">
        <f t="shared" si="275"/>
        <v>0</v>
      </c>
      <c r="DR31" s="867">
        <f t="shared" si="275"/>
        <v>19567142.100000001</v>
      </c>
      <c r="DS31" s="866">
        <f t="shared" si="275"/>
        <v>0</v>
      </c>
      <c r="DT31" s="848">
        <f t="shared" si="275"/>
        <v>12500000</v>
      </c>
      <c r="DU31" s="880">
        <f t="shared" si="275"/>
        <v>7200000</v>
      </c>
      <c r="DV31" s="880">
        <f t="shared" si="275"/>
        <v>5300000</v>
      </c>
      <c r="DW31" s="829">
        <f t="shared" si="275"/>
        <v>0</v>
      </c>
      <c r="DX31" s="857">
        <f t="shared" si="275"/>
        <v>6608000</v>
      </c>
      <c r="DY31" s="861">
        <f t="shared" si="275"/>
        <v>3760000</v>
      </c>
      <c r="DZ31" s="861">
        <f t="shared" si="275"/>
        <v>2848000</v>
      </c>
      <c r="EA31" s="861">
        <f t="shared" si="275"/>
        <v>0</v>
      </c>
      <c r="EB31" s="849">
        <f t="shared" si="275"/>
        <v>6297684.2199999997</v>
      </c>
      <c r="EC31" s="880">
        <f t="shared" si="275"/>
        <v>314884.21999999974</v>
      </c>
      <c r="ED31" s="881">
        <f t="shared" si="275"/>
        <v>5982800</v>
      </c>
      <c r="EE31" s="857">
        <f t="shared" ref="EE31:GP31" si="276">SUM(EE13:EE30)</f>
        <v>0</v>
      </c>
      <c r="EF31" s="877">
        <f t="shared" si="276"/>
        <v>0</v>
      </c>
      <c r="EG31" s="876">
        <f t="shared" si="276"/>
        <v>0</v>
      </c>
      <c r="EH31" s="857">
        <f t="shared" si="276"/>
        <v>0</v>
      </c>
      <c r="EI31" s="874">
        <f t="shared" si="276"/>
        <v>0</v>
      </c>
      <c r="EJ31" s="876">
        <f t="shared" si="276"/>
        <v>0</v>
      </c>
      <c r="EK31" s="847">
        <f t="shared" si="276"/>
        <v>0</v>
      </c>
      <c r="EL31" s="882">
        <f t="shared" si="276"/>
        <v>0</v>
      </c>
      <c r="EM31" s="881">
        <f t="shared" si="276"/>
        <v>0</v>
      </c>
      <c r="EN31" s="849">
        <f t="shared" si="276"/>
        <v>0</v>
      </c>
      <c r="EO31" s="864">
        <f t="shared" si="276"/>
        <v>0</v>
      </c>
      <c r="EP31" s="864">
        <f t="shared" si="276"/>
        <v>0</v>
      </c>
      <c r="EQ31" s="879">
        <f t="shared" si="276"/>
        <v>0</v>
      </c>
      <c r="ER31" s="849">
        <f t="shared" si="276"/>
        <v>0</v>
      </c>
      <c r="ES31" s="864">
        <f t="shared" si="276"/>
        <v>0</v>
      </c>
      <c r="ET31" s="864">
        <f t="shared" si="276"/>
        <v>0</v>
      </c>
      <c r="EU31" s="879">
        <f t="shared" si="276"/>
        <v>0</v>
      </c>
      <c r="EV31" s="849">
        <f t="shared" si="276"/>
        <v>82494836.710000008</v>
      </c>
      <c r="EW31" s="874">
        <f t="shared" si="276"/>
        <v>0</v>
      </c>
      <c r="EX31" s="875">
        <f t="shared" si="276"/>
        <v>82494836.710000008</v>
      </c>
      <c r="EY31" s="857">
        <f t="shared" si="276"/>
        <v>0</v>
      </c>
      <c r="EZ31" s="874">
        <f t="shared" si="276"/>
        <v>0</v>
      </c>
      <c r="FA31" s="875">
        <f t="shared" si="276"/>
        <v>0</v>
      </c>
      <c r="FB31" s="857">
        <f t="shared" si="276"/>
        <v>2027026.14</v>
      </c>
      <c r="FC31" s="864">
        <f t="shared" si="276"/>
        <v>529080.10999999987</v>
      </c>
      <c r="FD31" s="878">
        <f t="shared" si="276"/>
        <v>1497946.03</v>
      </c>
      <c r="FE31" s="857">
        <f t="shared" si="276"/>
        <v>0</v>
      </c>
      <c r="FF31" s="864">
        <f t="shared" si="276"/>
        <v>0</v>
      </c>
      <c r="FG31" s="879">
        <f t="shared" si="276"/>
        <v>0</v>
      </c>
      <c r="FH31" s="849">
        <f t="shared" si="276"/>
        <v>3880682.69</v>
      </c>
      <c r="FI31" s="864">
        <f t="shared" si="276"/>
        <v>1012908.5099999999</v>
      </c>
      <c r="FJ31" s="878">
        <f t="shared" si="276"/>
        <v>2867774.1799999997</v>
      </c>
      <c r="FK31" s="857">
        <f t="shared" si="276"/>
        <v>842629.03</v>
      </c>
      <c r="FL31" s="864">
        <f t="shared" si="276"/>
        <v>219937.09999999998</v>
      </c>
      <c r="FM31" s="879">
        <f t="shared" si="276"/>
        <v>622691.93000000005</v>
      </c>
      <c r="FN31" s="873">
        <f t="shared" si="276"/>
        <v>3880682.69</v>
      </c>
      <c r="FO31" s="864">
        <f t="shared" si="276"/>
        <v>1012908.5099999999</v>
      </c>
      <c r="FP31" s="878">
        <f t="shared" si="276"/>
        <v>2867774.1799999997</v>
      </c>
      <c r="FQ31" s="862">
        <f t="shared" si="276"/>
        <v>842629.03</v>
      </c>
      <c r="FR31" s="864">
        <f t="shared" si="276"/>
        <v>219937.09999999998</v>
      </c>
      <c r="FS31" s="879">
        <f t="shared" si="276"/>
        <v>622691.93000000005</v>
      </c>
      <c r="FT31" s="873">
        <f t="shared" si="276"/>
        <v>0</v>
      </c>
      <c r="FU31" s="864">
        <f t="shared" si="276"/>
        <v>0</v>
      </c>
      <c r="FV31" s="878">
        <f t="shared" si="276"/>
        <v>0</v>
      </c>
      <c r="FW31" s="862">
        <f t="shared" si="276"/>
        <v>0</v>
      </c>
      <c r="FX31" s="864">
        <f t="shared" si="276"/>
        <v>0</v>
      </c>
      <c r="FY31" s="879">
        <f t="shared" si="276"/>
        <v>0</v>
      </c>
      <c r="FZ31" s="849">
        <f t="shared" si="276"/>
        <v>0</v>
      </c>
      <c r="GA31" s="882">
        <f t="shared" si="276"/>
        <v>0</v>
      </c>
      <c r="GB31" s="881">
        <f t="shared" si="276"/>
        <v>0</v>
      </c>
      <c r="GC31" s="849">
        <f t="shared" si="276"/>
        <v>0</v>
      </c>
      <c r="GD31" s="883">
        <f t="shared" si="276"/>
        <v>0</v>
      </c>
      <c r="GE31" s="876">
        <f t="shared" si="276"/>
        <v>0</v>
      </c>
      <c r="GF31" s="849">
        <f t="shared" si="276"/>
        <v>200118022.88999996</v>
      </c>
      <c r="GG31" s="882">
        <f t="shared" si="276"/>
        <v>43030642.659999982</v>
      </c>
      <c r="GH31" s="881">
        <f t="shared" si="276"/>
        <v>157087380.22999999</v>
      </c>
      <c r="GI31" s="849">
        <f t="shared" si="276"/>
        <v>53185653.219999999</v>
      </c>
      <c r="GJ31" s="883">
        <f t="shared" si="276"/>
        <v>2659293.25</v>
      </c>
      <c r="GK31" s="876">
        <f t="shared" si="276"/>
        <v>50526359.969999999</v>
      </c>
      <c r="GL31" s="873">
        <f t="shared" si="276"/>
        <v>87446506</v>
      </c>
      <c r="GM31" s="883">
        <f t="shared" si="276"/>
        <v>10402506</v>
      </c>
      <c r="GN31" s="876">
        <f t="shared" si="276"/>
        <v>77044000</v>
      </c>
      <c r="GO31" s="873">
        <f t="shared" si="276"/>
        <v>0</v>
      </c>
      <c r="GP31" s="883">
        <f t="shared" si="276"/>
        <v>0</v>
      </c>
      <c r="GQ31" s="876">
        <f t="shared" ref="GQ31:JB31" si="277">SUM(GQ13:GQ30)</f>
        <v>0</v>
      </c>
      <c r="GR31" s="986">
        <f t="shared" si="277"/>
        <v>0</v>
      </c>
      <c r="GS31" s="863">
        <f t="shared" si="277"/>
        <v>0</v>
      </c>
      <c r="GT31" s="1027">
        <f t="shared" si="277"/>
        <v>87446506</v>
      </c>
      <c r="GU31" s="863">
        <f t="shared" si="277"/>
        <v>0</v>
      </c>
      <c r="GV31" s="849">
        <f t="shared" si="277"/>
        <v>222668000</v>
      </c>
      <c r="GW31" s="880">
        <f t="shared" si="277"/>
        <v>0</v>
      </c>
      <c r="GX31" s="881">
        <f t="shared" si="277"/>
        <v>75265211.599999994</v>
      </c>
      <c r="GY31" s="880">
        <f t="shared" si="277"/>
        <v>147402788.39999998</v>
      </c>
      <c r="GZ31" s="849">
        <f t="shared" si="277"/>
        <v>0</v>
      </c>
      <c r="HA31" s="880">
        <f t="shared" si="277"/>
        <v>0</v>
      </c>
      <c r="HB31" s="881">
        <f t="shared" si="277"/>
        <v>0</v>
      </c>
      <c r="HC31" s="864">
        <f t="shared" si="277"/>
        <v>0</v>
      </c>
      <c r="HD31" s="873">
        <f t="shared" si="277"/>
        <v>123288200</v>
      </c>
      <c r="HE31" s="864">
        <f t="shared" si="277"/>
        <v>123288200</v>
      </c>
      <c r="HF31" s="873">
        <f t="shared" si="277"/>
        <v>83537191.079999998</v>
      </c>
      <c r="HG31" s="864">
        <f t="shared" si="277"/>
        <v>83537191.079999998</v>
      </c>
      <c r="HH31" s="873">
        <f t="shared" si="277"/>
        <v>0</v>
      </c>
      <c r="HI31" s="873">
        <f t="shared" si="277"/>
        <v>0</v>
      </c>
      <c r="HJ31" s="873">
        <f t="shared" si="277"/>
        <v>123288200</v>
      </c>
      <c r="HK31" s="873">
        <f t="shared" si="277"/>
        <v>83537191.079999998</v>
      </c>
      <c r="HL31" s="849">
        <f t="shared" si="277"/>
        <v>51625558.140000008</v>
      </c>
      <c r="HM31" s="880">
        <f t="shared" si="277"/>
        <v>51625558.140000008</v>
      </c>
      <c r="HN31" s="881">
        <f t="shared" si="277"/>
        <v>0</v>
      </c>
      <c r="HO31" s="857">
        <f t="shared" si="277"/>
        <v>0</v>
      </c>
      <c r="HP31" s="880">
        <f t="shared" si="277"/>
        <v>0</v>
      </c>
      <c r="HQ31" s="881">
        <f t="shared" si="277"/>
        <v>0</v>
      </c>
      <c r="HR31" s="849">
        <f t="shared" si="277"/>
        <v>0</v>
      </c>
      <c r="HS31" s="880">
        <f t="shared" si="277"/>
        <v>0</v>
      </c>
      <c r="HT31" s="881">
        <f t="shared" si="277"/>
        <v>0</v>
      </c>
      <c r="HU31" s="857">
        <f t="shared" si="277"/>
        <v>0</v>
      </c>
      <c r="HV31" s="880">
        <f t="shared" si="277"/>
        <v>0</v>
      </c>
      <c r="HW31" s="881">
        <f t="shared" si="277"/>
        <v>0</v>
      </c>
      <c r="HX31" s="849">
        <f t="shared" si="277"/>
        <v>169455019.44999999</v>
      </c>
      <c r="HY31" s="880">
        <f t="shared" si="277"/>
        <v>1661708.0899999999</v>
      </c>
      <c r="HZ31" s="881">
        <f t="shared" si="277"/>
        <v>167793311.36000001</v>
      </c>
      <c r="IA31" s="857">
        <f t="shared" si="277"/>
        <v>145678877.52999997</v>
      </c>
      <c r="IB31" s="880">
        <f t="shared" si="277"/>
        <v>1456788.79</v>
      </c>
      <c r="IC31" s="881">
        <f t="shared" si="277"/>
        <v>144222088.74000001</v>
      </c>
      <c r="ID31" s="873">
        <f t="shared" si="277"/>
        <v>0</v>
      </c>
      <c r="IE31" s="864">
        <f t="shared" si="277"/>
        <v>-3284211.3599999994</v>
      </c>
      <c r="IF31" s="878">
        <f t="shared" si="277"/>
        <v>3284211.3599999994</v>
      </c>
      <c r="IG31" s="862">
        <f t="shared" si="277"/>
        <v>0</v>
      </c>
      <c r="IH31" s="864">
        <f t="shared" si="277"/>
        <v>0</v>
      </c>
      <c r="II31" s="879">
        <f t="shared" si="277"/>
        <v>0</v>
      </c>
      <c r="IJ31" s="873">
        <f t="shared" si="277"/>
        <v>169455019.44999999</v>
      </c>
      <c r="IK31" s="864">
        <f t="shared" si="277"/>
        <v>4945919.4499999993</v>
      </c>
      <c r="IL31" s="878">
        <f t="shared" si="277"/>
        <v>164509100</v>
      </c>
      <c r="IM31" s="862">
        <f t="shared" si="277"/>
        <v>145678877.52999997</v>
      </c>
      <c r="IN31" s="874">
        <f t="shared" si="277"/>
        <v>1456788.79</v>
      </c>
      <c r="IO31" s="876">
        <f t="shared" si="277"/>
        <v>144222088.74000001</v>
      </c>
      <c r="IP31" s="857">
        <f t="shared" si="277"/>
        <v>0</v>
      </c>
      <c r="IQ31" s="874">
        <f t="shared" si="277"/>
        <v>0</v>
      </c>
      <c r="IR31" s="876">
        <f t="shared" si="277"/>
        <v>0</v>
      </c>
      <c r="IS31" s="857">
        <f t="shared" si="277"/>
        <v>0</v>
      </c>
      <c r="IT31" s="874">
        <f t="shared" si="277"/>
        <v>0</v>
      </c>
      <c r="IU31" s="876">
        <f t="shared" si="277"/>
        <v>0</v>
      </c>
      <c r="IV31" s="1144">
        <f t="shared" si="277"/>
        <v>2631578.9500000002</v>
      </c>
      <c r="IW31" s="874">
        <f t="shared" si="277"/>
        <v>131578.95000000001</v>
      </c>
      <c r="IX31" s="876">
        <f t="shared" si="277"/>
        <v>2500000</v>
      </c>
      <c r="IY31" s="1144">
        <f t="shared" si="277"/>
        <v>0</v>
      </c>
      <c r="IZ31" s="874">
        <f t="shared" si="277"/>
        <v>0</v>
      </c>
      <c r="JA31" s="876">
        <f t="shared" si="277"/>
        <v>0</v>
      </c>
      <c r="JB31" s="986">
        <f t="shared" si="277"/>
        <v>0</v>
      </c>
      <c r="JC31" s="863">
        <f t="shared" ref="JC31:LN31" si="278">SUM(JC13:JC30)</f>
        <v>0</v>
      </c>
      <c r="JD31" s="986">
        <f t="shared" si="278"/>
        <v>2631578.9500000002</v>
      </c>
      <c r="JE31" s="863">
        <f t="shared" si="278"/>
        <v>0</v>
      </c>
      <c r="JF31" s="857">
        <f t="shared" si="278"/>
        <v>23000000</v>
      </c>
      <c r="JG31" s="874">
        <f t="shared" si="278"/>
        <v>1150000</v>
      </c>
      <c r="JH31" s="876">
        <f t="shared" si="278"/>
        <v>21850000</v>
      </c>
      <c r="JI31" s="857">
        <f t="shared" si="278"/>
        <v>592914.24</v>
      </c>
      <c r="JJ31" s="880">
        <f t="shared" si="278"/>
        <v>29645.71</v>
      </c>
      <c r="JK31" s="881">
        <f t="shared" si="278"/>
        <v>563268.53</v>
      </c>
      <c r="JL31" s="857">
        <f t="shared" si="278"/>
        <v>0</v>
      </c>
      <c r="JM31" s="880">
        <f t="shared" si="278"/>
        <v>0</v>
      </c>
      <c r="JN31" s="881">
        <f t="shared" si="278"/>
        <v>0</v>
      </c>
      <c r="JO31" s="857">
        <f t="shared" si="278"/>
        <v>0</v>
      </c>
      <c r="JP31" s="880">
        <f t="shared" si="278"/>
        <v>0</v>
      </c>
      <c r="JQ31" s="881">
        <f t="shared" si="278"/>
        <v>0</v>
      </c>
      <c r="JR31" s="857">
        <f t="shared" si="278"/>
        <v>18358.319999999985</v>
      </c>
      <c r="JS31" s="861">
        <f t="shared" si="278"/>
        <v>0</v>
      </c>
      <c r="JT31" s="878">
        <f t="shared" si="278"/>
        <v>18358.319999999985</v>
      </c>
      <c r="JU31" s="857">
        <f t="shared" si="278"/>
        <v>0</v>
      </c>
      <c r="JV31" s="874">
        <f t="shared" si="278"/>
        <v>0</v>
      </c>
      <c r="JW31" s="876">
        <f t="shared" si="278"/>
        <v>0</v>
      </c>
      <c r="JX31" s="857">
        <f t="shared" si="278"/>
        <v>18358.319999999985</v>
      </c>
      <c r="JY31" s="861">
        <f t="shared" si="278"/>
        <v>0</v>
      </c>
      <c r="JZ31" s="876">
        <f t="shared" si="278"/>
        <v>18358.319999999985</v>
      </c>
      <c r="KA31" s="857">
        <f t="shared" si="278"/>
        <v>0</v>
      </c>
      <c r="KB31" s="861">
        <f t="shared" si="278"/>
        <v>0</v>
      </c>
      <c r="KC31" s="879">
        <f t="shared" si="278"/>
        <v>0</v>
      </c>
      <c r="KD31" s="862">
        <f t="shared" si="278"/>
        <v>-3237680.18</v>
      </c>
      <c r="KE31" s="884">
        <f t="shared" si="278"/>
        <v>-846570.0199999999</v>
      </c>
      <c r="KF31" s="876">
        <f t="shared" si="278"/>
        <v>-2391110.16</v>
      </c>
      <c r="KG31" s="885">
        <f t="shared" si="278"/>
        <v>0</v>
      </c>
      <c r="KH31" s="861">
        <f t="shared" si="278"/>
        <v>0</v>
      </c>
      <c r="KI31" s="878">
        <f t="shared" si="278"/>
        <v>0</v>
      </c>
      <c r="KJ31" s="862">
        <f t="shared" si="278"/>
        <v>3256038.5</v>
      </c>
      <c r="KK31" s="884">
        <f t="shared" si="278"/>
        <v>846570.0199999999</v>
      </c>
      <c r="KL31" s="876">
        <f t="shared" si="278"/>
        <v>2409468.4800000004</v>
      </c>
      <c r="KM31" s="862">
        <f t="shared" si="278"/>
        <v>0</v>
      </c>
      <c r="KN31" s="874">
        <f t="shared" si="278"/>
        <v>0</v>
      </c>
      <c r="KO31" s="876">
        <f t="shared" si="278"/>
        <v>0</v>
      </c>
      <c r="KP31" s="850">
        <f t="shared" si="278"/>
        <v>33356532.820000008</v>
      </c>
      <c r="KQ31" s="861">
        <f t="shared" si="278"/>
        <v>20130231.120000001</v>
      </c>
      <c r="KR31" s="876">
        <f t="shared" si="278"/>
        <v>6341171.7000000002</v>
      </c>
      <c r="KS31" s="861">
        <f t="shared" si="278"/>
        <v>2503073.06</v>
      </c>
      <c r="KT31" s="876">
        <f t="shared" si="278"/>
        <v>4382056.9399999995</v>
      </c>
      <c r="KU31" s="850">
        <f t="shared" si="278"/>
        <v>0</v>
      </c>
      <c r="KV31" s="864">
        <f t="shared" si="278"/>
        <v>0</v>
      </c>
      <c r="KW31" s="876">
        <f t="shared" si="278"/>
        <v>0</v>
      </c>
      <c r="KX31" s="864">
        <f t="shared" si="278"/>
        <v>0</v>
      </c>
      <c r="KY31" s="876">
        <f t="shared" si="278"/>
        <v>0</v>
      </c>
      <c r="KZ31" s="850">
        <f t="shared" si="278"/>
        <v>2533780</v>
      </c>
      <c r="LA31" s="884">
        <f t="shared" si="278"/>
        <v>2533780</v>
      </c>
      <c r="LB31" s="876">
        <f t="shared" si="278"/>
        <v>0</v>
      </c>
      <c r="LC31" s="884">
        <f t="shared" si="278"/>
        <v>0</v>
      </c>
      <c r="LD31" s="876">
        <f t="shared" si="278"/>
        <v>0</v>
      </c>
      <c r="LE31" s="850">
        <f t="shared" si="278"/>
        <v>0</v>
      </c>
      <c r="LF31" s="864">
        <f t="shared" si="278"/>
        <v>0</v>
      </c>
      <c r="LG31" s="876">
        <f t="shared" si="278"/>
        <v>0</v>
      </c>
      <c r="LH31" s="864">
        <f t="shared" si="278"/>
        <v>0</v>
      </c>
      <c r="LI31" s="876">
        <f t="shared" si="278"/>
        <v>0</v>
      </c>
      <c r="LJ31" s="852">
        <f t="shared" si="278"/>
        <v>-1817570</v>
      </c>
      <c r="LK31" s="884">
        <f t="shared" si="278"/>
        <v>-1817570</v>
      </c>
      <c r="LL31" s="876">
        <f t="shared" si="278"/>
        <v>0</v>
      </c>
      <c r="LM31" s="852">
        <f t="shared" si="278"/>
        <v>0</v>
      </c>
      <c r="LN31" s="884">
        <f t="shared" si="278"/>
        <v>0</v>
      </c>
      <c r="LO31" s="876">
        <f t="shared" ref="LO31:NQ31" si="279">SUM(LO13:LO30)</f>
        <v>0</v>
      </c>
      <c r="LP31" s="852">
        <f t="shared" si="279"/>
        <v>4351350</v>
      </c>
      <c r="LQ31" s="861">
        <f t="shared" si="279"/>
        <v>4351350</v>
      </c>
      <c r="LR31" s="878">
        <f t="shared" si="279"/>
        <v>0</v>
      </c>
      <c r="LS31" s="852">
        <f t="shared" si="279"/>
        <v>0</v>
      </c>
      <c r="LT31" s="884">
        <f t="shared" si="279"/>
        <v>0</v>
      </c>
      <c r="LU31" s="876">
        <f t="shared" si="279"/>
        <v>0</v>
      </c>
      <c r="LV31" s="847">
        <f t="shared" si="279"/>
        <v>7973513.5099999998</v>
      </c>
      <c r="LW31" s="864">
        <f t="shared" si="279"/>
        <v>0</v>
      </c>
      <c r="LX31" s="886">
        <f t="shared" si="279"/>
        <v>2073113.5099999998</v>
      </c>
      <c r="LY31" s="879">
        <f t="shared" si="279"/>
        <v>5900400</v>
      </c>
      <c r="LZ31" s="847">
        <f t="shared" si="279"/>
        <v>0</v>
      </c>
      <c r="MA31" s="864">
        <f t="shared" si="279"/>
        <v>0</v>
      </c>
      <c r="MB31" s="864">
        <f t="shared" si="279"/>
        <v>0</v>
      </c>
      <c r="MC31" s="876">
        <f t="shared" si="279"/>
        <v>0</v>
      </c>
      <c r="MD31" s="847">
        <f t="shared" si="279"/>
        <v>32277567.57</v>
      </c>
      <c r="ME31" s="864">
        <f t="shared" si="279"/>
        <v>0</v>
      </c>
      <c r="MF31" s="864">
        <f t="shared" si="279"/>
        <v>8392167.5700000003</v>
      </c>
      <c r="MG31" s="876">
        <f t="shared" si="279"/>
        <v>23885400</v>
      </c>
      <c r="MH31" s="847">
        <f t="shared" si="279"/>
        <v>21110008.829999998</v>
      </c>
      <c r="MI31" s="864">
        <f t="shared" si="279"/>
        <v>0</v>
      </c>
      <c r="MJ31" s="864">
        <f t="shared" si="279"/>
        <v>5488602.29</v>
      </c>
      <c r="MK31" s="876">
        <f t="shared" si="279"/>
        <v>15621406.539999999</v>
      </c>
      <c r="ML31" s="863">
        <f t="shared" si="279"/>
        <v>32277567.57</v>
      </c>
      <c r="MM31" s="880">
        <f t="shared" si="279"/>
        <v>0</v>
      </c>
      <c r="MN31" s="880">
        <f t="shared" si="279"/>
        <v>8392167.5700000003</v>
      </c>
      <c r="MO31" s="881">
        <f t="shared" si="279"/>
        <v>23885400</v>
      </c>
      <c r="MP31" s="863">
        <f t="shared" si="279"/>
        <v>21110008.829999998</v>
      </c>
      <c r="MQ31" s="882">
        <f t="shared" si="279"/>
        <v>0</v>
      </c>
      <c r="MR31" s="882">
        <f t="shared" si="279"/>
        <v>5488602.29</v>
      </c>
      <c r="MS31" s="881">
        <f t="shared" si="279"/>
        <v>15621406.539999999</v>
      </c>
      <c r="MT31" s="863">
        <f t="shared" si="279"/>
        <v>0</v>
      </c>
      <c r="MU31" s="864">
        <f t="shared" si="279"/>
        <v>0</v>
      </c>
      <c r="MV31" s="864">
        <f t="shared" si="279"/>
        <v>0</v>
      </c>
      <c r="MW31" s="876">
        <f t="shared" si="279"/>
        <v>0</v>
      </c>
      <c r="MX31" s="863">
        <f t="shared" si="279"/>
        <v>0</v>
      </c>
      <c r="MY31" s="864">
        <f t="shared" si="279"/>
        <v>0</v>
      </c>
      <c r="MZ31" s="864">
        <f t="shared" si="279"/>
        <v>0</v>
      </c>
      <c r="NA31" s="876">
        <f t="shared" si="279"/>
        <v>0</v>
      </c>
      <c r="NB31" s="872">
        <f t="shared" si="279"/>
        <v>9685227.6900000013</v>
      </c>
      <c r="NC31" s="886">
        <f t="shared" si="279"/>
        <v>0</v>
      </c>
      <c r="ND31" s="879">
        <f t="shared" si="279"/>
        <v>0</v>
      </c>
      <c r="NE31" s="880">
        <f t="shared" si="279"/>
        <v>1671589.1900000004</v>
      </c>
      <c r="NF31" s="881">
        <f t="shared" si="279"/>
        <v>4757600</v>
      </c>
      <c r="NG31" s="886">
        <f t="shared" si="279"/>
        <v>0</v>
      </c>
      <c r="NH31" s="886">
        <f t="shared" si="279"/>
        <v>846570.0199999999</v>
      </c>
      <c r="NI31" s="878">
        <f t="shared" si="279"/>
        <v>2409468.4800000004</v>
      </c>
      <c r="NJ31" s="857">
        <f t="shared" si="279"/>
        <v>3301090.16</v>
      </c>
      <c r="NK31" s="864">
        <f t="shared" si="279"/>
        <v>0</v>
      </c>
      <c r="NL31" s="876">
        <f t="shared" si="279"/>
        <v>0</v>
      </c>
      <c r="NM31" s="861">
        <f t="shared" si="279"/>
        <v>170334.3</v>
      </c>
      <c r="NN31" s="879">
        <f t="shared" si="279"/>
        <v>484797.61</v>
      </c>
      <c r="NO31" s="864">
        <f t="shared" si="279"/>
        <v>0</v>
      </c>
      <c r="NP31" s="864">
        <f t="shared" si="279"/>
        <v>687949.14999999991</v>
      </c>
      <c r="NQ31" s="878">
        <f t="shared" si="279"/>
        <v>1958009.1</v>
      </c>
      <c r="NR31" s="857">
        <f t="shared" ref="NR31:QE31" si="280">SUM(NR13:NR30)</f>
        <v>164579708.91999999</v>
      </c>
      <c r="NS31" s="861">
        <f t="shared" si="280"/>
        <v>18358.319999999985</v>
      </c>
      <c r="NT31" s="878">
        <f t="shared" si="280"/>
        <v>164561350.59999999</v>
      </c>
      <c r="NU31" s="857">
        <f t="shared" si="280"/>
        <v>45274.409999999989</v>
      </c>
      <c r="NV31" s="877">
        <f t="shared" si="280"/>
        <v>11771.349999999991</v>
      </c>
      <c r="NW31" s="876">
        <f t="shared" si="280"/>
        <v>33503.06</v>
      </c>
      <c r="NX31" s="862">
        <f t="shared" si="280"/>
        <v>0</v>
      </c>
      <c r="NY31" s="874">
        <f t="shared" si="280"/>
        <v>0</v>
      </c>
      <c r="NZ31" s="876">
        <f t="shared" si="280"/>
        <v>0</v>
      </c>
      <c r="OA31" s="862">
        <f t="shared" si="280"/>
        <v>0</v>
      </c>
      <c r="OB31" s="861">
        <f t="shared" si="280"/>
        <v>0</v>
      </c>
      <c r="OC31" s="878">
        <f t="shared" si="280"/>
        <v>0</v>
      </c>
      <c r="OD31" s="862">
        <f t="shared" si="280"/>
        <v>164579708.91999999</v>
      </c>
      <c r="OE31" s="861">
        <f t="shared" si="280"/>
        <v>18358.319999999985</v>
      </c>
      <c r="OF31" s="878">
        <f t="shared" si="280"/>
        <v>164561350.59999999</v>
      </c>
      <c r="OG31" s="862">
        <f t="shared" si="280"/>
        <v>45274.409999999989</v>
      </c>
      <c r="OH31" s="861">
        <f t="shared" si="280"/>
        <v>11771.349999999991</v>
      </c>
      <c r="OI31" s="876">
        <f t="shared" si="280"/>
        <v>33503.06</v>
      </c>
      <c r="OJ31" s="856">
        <f t="shared" si="280"/>
        <v>0</v>
      </c>
      <c r="OK31" s="874">
        <f t="shared" si="280"/>
        <v>0</v>
      </c>
      <c r="OL31" s="875">
        <f t="shared" si="280"/>
        <v>0</v>
      </c>
      <c r="OM31" s="874">
        <f t="shared" si="280"/>
        <v>0</v>
      </c>
      <c r="ON31" s="857">
        <f t="shared" si="280"/>
        <v>0</v>
      </c>
      <c r="OO31" s="864">
        <f t="shared" si="280"/>
        <v>0</v>
      </c>
      <c r="OP31" s="876">
        <f t="shared" si="280"/>
        <v>0</v>
      </c>
      <c r="OQ31" s="864">
        <f t="shared" si="280"/>
        <v>0</v>
      </c>
      <c r="OR31" s="850">
        <f t="shared" si="280"/>
        <v>268560414.11000001</v>
      </c>
      <c r="OS31" s="861">
        <f t="shared" si="280"/>
        <v>104000000</v>
      </c>
      <c r="OT31" s="876">
        <f t="shared" si="280"/>
        <v>144560414.10999998</v>
      </c>
      <c r="OU31" s="861">
        <f t="shared" si="280"/>
        <v>20000000</v>
      </c>
      <c r="OV31" s="850">
        <f t="shared" si="280"/>
        <v>7399606.71</v>
      </c>
      <c r="OW31" s="884">
        <f t="shared" si="280"/>
        <v>0</v>
      </c>
      <c r="OX31" s="876">
        <f t="shared" si="280"/>
        <v>0</v>
      </c>
      <c r="OY31" s="861">
        <f t="shared" si="280"/>
        <v>7399606.71</v>
      </c>
      <c r="OZ31" s="850">
        <f t="shared" si="280"/>
        <v>281107380.46999997</v>
      </c>
      <c r="PA31" s="861">
        <f t="shared" si="280"/>
        <v>5473685.5999999978</v>
      </c>
      <c r="PB31" s="879">
        <f t="shared" si="280"/>
        <v>104000000</v>
      </c>
      <c r="PC31" s="861">
        <f t="shared" si="280"/>
        <v>171633694.87</v>
      </c>
      <c r="PD31" s="850">
        <f t="shared" si="280"/>
        <v>107788573.53999999</v>
      </c>
      <c r="PE31" s="861">
        <f t="shared" si="280"/>
        <v>3667099.2399999998</v>
      </c>
      <c r="PF31" s="878">
        <f t="shared" si="280"/>
        <v>69674867.719999999</v>
      </c>
      <c r="PG31" s="861">
        <f t="shared" si="280"/>
        <v>34446606.579999998</v>
      </c>
      <c r="PH31" s="852">
        <f t="shared" si="280"/>
        <v>139560414.10999998</v>
      </c>
      <c r="PI31" s="884">
        <f t="shared" si="280"/>
        <v>-5000000</v>
      </c>
      <c r="PJ31" s="876">
        <f t="shared" si="280"/>
        <v>0</v>
      </c>
      <c r="PK31" s="861">
        <f t="shared" si="280"/>
        <v>144560414.10999998</v>
      </c>
      <c r="PL31" s="852">
        <f t="shared" si="280"/>
        <v>34446606.579999998</v>
      </c>
      <c r="PM31" s="884">
        <f t="shared" si="280"/>
        <v>0</v>
      </c>
      <c r="PN31" s="876">
        <f t="shared" si="280"/>
        <v>0</v>
      </c>
      <c r="PO31" s="861">
        <f t="shared" si="280"/>
        <v>34446606.579999998</v>
      </c>
      <c r="PP31" s="852">
        <f t="shared" si="280"/>
        <v>141546966.35999998</v>
      </c>
      <c r="PQ31" s="861">
        <f t="shared" si="280"/>
        <v>10473685.599999998</v>
      </c>
      <c r="PR31" s="878">
        <f t="shared" si="280"/>
        <v>104000000</v>
      </c>
      <c r="PS31" s="861">
        <f t="shared" si="280"/>
        <v>27073280.759999998</v>
      </c>
      <c r="PT31" s="852">
        <f t="shared" si="280"/>
        <v>73341966.959999993</v>
      </c>
      <c r="PU31" s="884">
        <f t="shared" si="280"/>
        <v>3667099.2399999998</v>
      </c>
      <c r="PV31" s="876">
        <f t="shared" si="280"/>
        <v>69674867.719999999</v>
      </c>
      <c r="PW31" s="861">
        <f t="shared" si="280"/>
        <v>0</v>
      </c>
      <c r="PX31" s="857">
        <f t="shared" si="280"/>
        <v>171852053.88</v>
      </c>
      <c r="PY31" s="882">
        <f t="shared" si="280"/>
        <v>152102.69</v>
      </c>
      <c r="PZ31" s="881">
        <f t="shared" si="280"/>
        <v>2889951.19</v>
      </c>
      <c r="QA31" s="882">
        <f t="shared" ref="QA31:QB31" si="281">SUM(QA13:QA30)</f>
        <v>8440500</v>
      </c>
      <c r="QB31" s="881">
        <f t="shared" si="281"/>
        <v>160369500</v>
      </c>
      <c r="QC31" s="857">
        <f t="shared" si="280"/>
        <v>39922412.100000001</v>
      </c>
      <c r="QD31" s="864">
        <f t="shared" si="280"/>
        <v>0</v>
      </c>
      <c r="QE31" s="879">
        <f t="shared" si="280"/>
        <v>0</v>
      </c>
      <c r="QF31" s="864">
        <f t="shared" ref="QF31:QG31" si="282">SUM(QF13:QF30)</f>
        <v>1996120.61</v>
      </c>
      <c r="QG31" s="879">
        <f t="shared" si="282"/>
        <v>37926291.490000002</v>
      </c>
      <c r="QH31" s="857">
        <f t="shared" ref="QH31:SS31" si="283">SUM(QH13:QH30)</f>
        <v>6360592.71</v>
      </c>
      <c r="QI31" s="882">
        <f t="shared" si="283"/>
        <v>318029.62999999989</v>
      </c>
      <c r="QJ31" s="881">
        <f t="shared" si="283"/>
        <v>6042563.0800000001</v>
      </c>
      <c r="QK31" s="857">
        <f t="shared" si="283"/>
        <v>1248022.27</v>
      </c>
      <c r="QL31" s="864">
        <f t="shared" si="283"/>
        <v>62401.11</v>
      </c>
      <c r="QM31" s="879">
        <f t="shared" si="283"/>
        <v>1185621.1599999999</v>
      </c>
      <c r="QN31" s="862">
        <f t="shared" si="283"/>
        <v>6360592.71</v>
      </c>
      <c r="QO31" s="864">
        <f t="shared" si="283"/>
        <v>318029.62999999989</v>
      </c>
      <c r="QP31" s="879">
        <f t="shared" si="283"/>
        <v>6042563.0800000001</v>
      </c>
      <c r="QQ31" s="862">
        <f t="shared" si="283"/>
        <v>1248022.27</v>
      </c>
      <c r="QR31" s="882">
        <f t="shared" si="283"/>
        <v>62401.11</v>
      </c>
      <c r="QS31" s="881">
        <f t="shared" si="283"/>
        <v>1185621.1599999999</v>
      </c>
      <c r="QT31" s="862">
        <f t="shared" si="283"/>
        <v>0</v>
      </c>
      <c r="QU31" s="882">
        <f t="shared" si="283"/>
        <v>0</v>
      </c>
      <c r="QV31" s="881">
        <f t="shared" si="283"/>
        <v>0</v>
      </c>
      <c r="QW31" s="862">
        <f t="shared" si="283"/>
        <v>0</v>
      </c>
      <c r="QX31" s="864">
        <f t="shared" si="283"/>
        <v>0</v>
      </c>
      <c r="QY31" s="879">
        <f t="shared" si="283"/>
        <v>0</v>
      </c>
      <c r="QZ31" s="849">
        <f t="shared" si="283"/>
        <v>0</v>
      </c>
      <c r="RA31" s="880">
        <f t="shared" si="283"/>
        <v>0</v>
      </c>
      <c r="RB31" s="881">
        <f t="shared" si="283"/>
        <v>0</v>
      </c>
      <c r="RC31" s="857">
        <f t="shared" si="283"/>
        <v>0</v>
      </c>
      <c r="RD31" s="880">
        <f t="shared" si="283"/>
        <v>0</v>
      </c>
      <c r="RE31" s="881">
        <f t="shared" si="283"/>
        <v>0</v>
      </c>
      <c r="RF31" s="849">
        <f t="shared" si="283"/>
        <v>0</v>
      </c>
      <c r="RG31" s="880">
        <f t="shared" si="283"/>
        <v>0</v>
      </c>
      <c r="RH31" s="881">
        <f t="shared" si="283"/>
        <v>0</v>
      </c>
      <c r="RI31" s="857">
        <f t="shared" si="283"/>
        <v>0</v>
      </c>
      <c r="RJ31" s="880">
        <f t="shared" si="283"/>
        <v>0</v>
      </c>
      <c r="RK31" s="881">
        <f t="shared" si="283"/>
        <v>0</v>
      </c>
      <c r="RL31" s="849">
        <f t="shared" si="283"/>
        <v>0</v>
      </c>
      <c r="RM31" s="880">
        <f t="shared" si="283"/>
        <v>0</v>
      </c>
      <c r="RN31" s="881">
        <f t="shared" si="283"/>
        <v>0</v>
      </c>
      <c r="RO31" s="857">
        <f t="shared" si="283"/>
        <v>0</v>
      </c>
      <c r="RP31" s="880">
        <f t="shared" si="283"/>
        <v>0</v>
      </c>
      <c r="RQ31" s="881">
        <f t="shared" si="283"/>
        <v>0</v>
      </c>
      <c r="RR31" s="873">
        <f t="shared" si="283"/>
        <v>0</v>
      </c>
      <c r="RS31" s="880">
        <f t="shared" si="283"/>
        <v>0</v>
      </c>
      <c r="RT31" s="881">
        <f t="shared" si="283"/>
        <v>0</v>
      </c>
      <c r="RU31" s="862">
        <f t="shared" si="283"/>
        <v>0</v>
      </c>
      <c r="RV31" s="880">
        <f t="shared" si="283"/>
        <v>0</v>
      </c>
      <c r="RW31" s="881">
        <f t="shared" si="283"/>
        <v>0</v>
      </c>
      <c r="RX31" s="873">
        <f t="shared" si="283"/>
        <v>0</v>
      </c>
      <c r="RY31" s="880">
        <f t="shared" si="283"/>
        <v>0</v>
      </c>
      <c r="RZ31" s="881">
        <f t="shared" si="283"/>
        <v>0</v>
      </c>
      <c r="SA31" s="862">
        <f t="shared" si="283"/>
        <v>0</v>
      </c>
      <c r="SB31" s="880">
        <f t="shared" si="283"/>
        <v>0</v>
      </c>
      <c r="SC31" s="881">
        <f t="shared" si="283"/>
        <v>0</v>
      </c>
      <c r="SD31" s="849">
        <f t="shared" si="283"/>
        <v>0</v>
      </c>
      <c r="SE31" s="882">
        <f t="shared" si="283"/>
        <v>0</v>
      </c>
      <c r="SF31" s="881">
        <f t="shared" si="283"/>
        <v>0</v>
      </c>
      <c r="SG31" s="857">
        <f t="shared" si="283"/>
        <v>0</v>
      </c>
      <c r="SH31" s="877">
        <f t="shared" si="283"/>
        <v>0</v>
      </c>
      <c r="SI31" s="876">
        <f t="shared" si="283"/>
        <v>0</v>
      </c>
      <c r="SJ31" s="847">
        <f t="shared" si="283"/>
        <v>101646756.76000001</v>
      </c>
      <c r="SK31" s="864">
        <f t="shared" si="283"/>
        <v>0</v>
      </c>
      <c r="SL31" s="882">
        <f t="shared" si="283"/>
        <v>26428156.760000005</v>
      </c>
      <c r="SM31" s="881">
        <f t="shared" si="283"/>
        <v>75218600</v>
      </c>
      <c r="SN31" s="847">
        <f t="shared" si="283"/>
        <v>1287992.52</v>
      </c>
      <c r="SO31" s="864">
        <f t="shared" si="283"/>
        <v>0</v>
      </c>
      <c r="SP31" s="877">
        <f t="shared" si="283"/>
        <v>334878.06</v>
      </c>
      <c r="SQ31" s="876">
        <f t="shared" si="283"/>
        <v>953114.46</v>
      </c>
      <c r="SR31" s="849">
        <f t="shared" si="283"/>
        <v>0</v>
      </c>
      <c r="SS31" s="882">
        <f t="shared" si="283"/>
        <v>0</v>
      </c>
      <c r="ST31" s="881">
        <f t="shared" ref="ST31:VE31" si="284">SUM(ST13:ST30)</f>
        <v>0</v>
      </c>
      <c r="SU31" s="857">
        <f t="shared" si="284"/>
        <v>0</v>
      </c>
      <c r="SV31" s="877">
        <f t="shared" si="284"/>
        <v>0</v>
      </c>
      <c r="SW31" s="876">
        <f t="shared" si="284"/>
        <v>0</v>
      </c>
      <c r="SX31" s="847">
        <f t="shared" si="284"/>
        <v>1422264682.3500001</v>
      </c>
      <c r="SY31" s="880">
        <f t="shared" si="284"/>
        <v>6193124.0799999936</v>
      </c>
      <c r="SZ31" s="881">
        <f t="shared" si="284"/>
        <v>117669358.27000001</v>
      </c>
      <c r="TA31" s="860">
        <f t="shared" si="284"/>
        <v>0</v>
      </c>
      <c r="TB31" s="881">
        <f t="shared" si="284"/>
        <v>0</v>
      </c>
      <c r="TC31" s="859">
        <f t="shared" si="284"/>
        <v>58755699.999999978</v>
      </c>
      <c r="TD31" s="881">
        <f t="shared" si="284"/>
        <v>1239646500</v>
      </c>
      <c r="TE31" s="847">
        <f t="shared" si="284"/>
        <v>604661559.94999993</v>
      </c>
      <c r="TF31" s="864">
        <f t="shared" si="284"/>
        <v>452036.02</v>
      </c>
      <c r="TG31" s="879">
        <f t="shared" si="284"/>
        <v>8588685.3199999966</v>
      </c>
      <c r="TH31" s="864">
        <f t="shared" si="284"/>
        <v>0</v>
      </c>
      <c r="TI31" s="879">
        <f t="shared" si="284"/>
        <v>0</v>
      </c>
      <c r="TJ31" s="864">
        <f t="shared" si="284"/>
        <v>29781041.920000002</v>
      </c>
      <c r="TK31" s="876">
        <f t="shared" si="284"/>
        <v>565839796.69000006</v>
      </c>
      <c r="TL31" s="857">
        <f t="shared" si="284"/>
        <v>110602710.74000001</v>
      </c>
      <c r="TM31" s="882">
        <f t="shared" si="284"/>
        <v>5359433.810000008</v>
      </c>
      <c r="TN31" s="881">
        <f t="shared" si="284"/>
        <v>101829241.72999999</v>
      </c>
      <c r="TO31" s="860">
        <f t="shared" si="284"/>
        <v>170701.76000000024</v>
      </c>
      <c r="TP31" s="881">
        <f t="shared" si="284"/>
        <v>3243333.44</v>
      </c>
      <c r="TQ31" s="860">
        <f t="shared" si="284"/>
        <v>0</v>
      </c>
      <c r="TR31" s="881">
        <f t="shared" si="284"/>
        <v>0</v>
      </c>
      <c r="TS31" s="857">
        <f t="shared" si="284"/>
        <v>21380391.789999999</v>
      </c>
      <c r="TT31" s="864">
        <f t="shared" si="284"/>
        <v>1069019.56</v>
      </c>
      <c r="TU31" s="879">
        <f t="shared" si="284"/>
        <v>20311372.23</v>
      </c>
      <c r="TV31" s="864">
        <f t="shared" si="284"/>
        <v>0</v>
      </c>
      <c r="TW31" s="879">
        <f t="shared" si="284"/>
        <v>0</v>
      </c>
      <c r="TX31" s="864">
        <f t="shared" si="284"/>
        <v>0</v>
      </c>
      <c r="TY31" s="879">
        <f t="shared" si="284"/>
        <v>0</v>
      </c>
      <c r="TZ31" s="873">
        <f t="shared" si="284"/>
        <v>82918204.510000005</v>
      </c>
      <c r="UA31" s="883">
        <f t="shared" si="284"/>
        <v>4347096.1900000069</v>
      </c>
      <c r="UB31" s="876">
        <f t="shared" si="284"/>
        <v>82594827.389999986</v>
      </c>
      <c r="UC31" s="883">
        <f t="shared" si="284"/>
        <v>-201185.94999999949</v>
      </c>
      <c r="UD31" s="876">
        <f t="shared" si="284"/>
        <v>-3822533.12</v>
      </c>
      <c r="UE31" s="877">
        <f t="shared" si="284"/>
        <v>0</v>
      </c>
      <c r="UF31" s="876">
        <f t="shared" si="284"/>
        <v>0</v>
      </c>
      <c r="UG31" s="873">
        <f t="shared" si="284"/>
        <v>20394882.899999999</v>
      </c>
      <c r="UH31" s="883">
        <f t="shared" si="284"/>
        <v>1019744.1199999999</v>
      </c>
      <c r="UI31" s="876">
        <f t="shared" si="284"/>
        <v>19375138.780000001</v>
      </c>
      <c r="UJ31" s="883">
        <f t="shared" si="284"/>
        <v>0</v>
      </c>
      <c r="UK31" s="876">
        <f t="shared" si="284"/>
        <v>0</v>
      </c>
      <c r="UL31" s="877">
        <f t="shared" si="284"/>
        <v>0</v>
      </c>
      <c r="UM31" s="876">
        <f t="shared" si="284"/>
        <v>0</v>
      </c>
      <c r="UN31" s="862">
        <f t="shared" si="284"/>
        <v>27684506.23</v>
      </c>
      <c r="UO31" s="882">
        <f t="shared" si="284"/>
        <v>1012337.620000001</v>
      </c>
      <c r="UP31" s="881">
        <f t="shared" si="284"/>
        <v>19234414.34</v>
      </c>
      <c r="UQ31" s="860">
        <f t="shared" si="284"/>
        <v>371887.70999999973</v>
      </c>
      <c r="UR31" s="881">
        <f t="shared" si="284"/>
        <v>7065866.5600000005</v>
      </c>
      <c r="US31" s="860">
        <f t="shared" si="284"/>
        <v>0</v>
      </c>
      <c r="UT31" s="881">
        <f t="shared" si="284"/>
        <v>0</v>
      </c>
      <c r="UU31" s="862">
        <f t="shared" si="284"/>
        <v>985508.8899999999</v>
      </c>
      <c r="UV31" s="864">
        <f t="shared" si="284"/>
        <v>49275.439999999995</v>
      </c>
      <c r="UW31" s="879">
        <f t="shared" si="284"/>
        <v>936233.45</v>
      </c>
      <c r="UX31" s="864">
        <f t="shared" si="284"/>
        <v>0</v>
      </c>
      <c r="UY31" s="879">
        <f t="shared" si="284"/>
        <v>0</v>
      </c>
      <c r="UZ31" s="864">
        <f t="shared" si="284"/>
        <v>0</v>
      </c>
      <c r="VA31" s="879">
        <f t="shared" si="284"/>
        <v>0</v>
      </c>
      <c r="VB31" s="857">
        <f t="shared" si="284"/>
        <v>2017204318.7400005</v>
      </c>
      <c r="VC31" s="857">
        <f t="shared" si="284"/>
        <v>438917883.50000006</v>
      </c>
      <c r="VD31" s="849">
        <f t="shared" si="284"/>
        <v>187305903.59000003</v>
      </c>
      <c r="VE31" s="857">
        <f t="shared" si="284"/>
        <v>33714991.949999996</v>
      </c>
      <c r="VF31" s="887">
        <f t="shared" ref="VF31:XQ31" si="285">SUM(VF13:VF30)</f>
        <v>25682372.670000002</v>
      </c>
      <c r="VG31" s="852">
        <f t="shared" si="285"/>
        <v>6937380.6699999999</v>
      </c>
      <c r="VH31" s="888">
        <f t="shared" si="285"/>
        <v>161623530.92000002</v>
      </c>
      <c r="VI31" s="852">
        <f t="shared" si="285"/>
        <v>26777611.279999997</v>
      </c>
      <c r="VJ31" s="847">
        <f t="shared" si="285"/>
        <v>8123140951.9700012</v>
      </c>
      <c r="VK31" s="859">
        <f t="shared" si="285"/>
        <v>7888201311.4899998</v>
      </c>
      <c r="VL31" s="889">
        <f t="shared" si="285"/>
        <v>234939640.48000002</v>
      </c>
      <c r="VM31" s="847">
        <f t="shared" si="285"/>
        <v>4852079455.0200005</v>
      </c>
      <c r="VN31" s="859">
        <f t="shared" si="285"/>
        <v>4722402114.0599995</v>
      </c>
      <c r="VO31" s="860">
        <f t="shared" si="285"/>
        <v>129677340.96000001</v>
      </c>
      <c r="VP31" s="847">
        <f t="shared" si="285"/>
        <v>7533629859.2800007</v>
      </c>
      <c r="VQ31" s="868">
        <f t="shared" si="285"/>
        <v>4539275137.8100004</v>
      </c>
      <c r="VR31" s="847">
        <f t="shared" si="285"/>
        <v>261430127</v>
      </c>
      <c r="VS31" s="868">
        <f t="shared" si="285"/>
        <v>129900996.43000001</v>
      </c>
      <c r="VT31" s="847">
        <f t="shared" si="285"/>
        <v>9483500</v>
      </c>
      <c r="VU31" s="868">
        <f t="shared" si="285"/>
        <v>969502.7</v>
      </c>
      <c r="VV31" s="847">
        <f t="shared" si="285"/>
        <v>36969300</v>
      </c>
      <c r="VW31" s="868">
        <f t="shared" si="285"/>
        <v>14961629.73</v>
      </c>
      <c r="VX31" s="848">
        <f t="shared" si="285"/>
        <v>0</v>
      </c>
      <c r="VY31" s="847">
        <f t="shared" si="285"/>
        <v>0</v>
      </c>
      <c r="VZ31" s="868">
        <f t="shared" si="285"/>
        <v>0</v>
      </c>
      <c r="WA31" s="847">
        <f t="shared" si="285"/>
        <v>0</v>
      </c>
      <c r="WB31" s="868">
        <f t="shared" si="285"/>
        <v>1553000</v>
      </c>
      <c r="WC31" s="847">
        <f t="shared" si="285"/>
        <v>0</v>
      </c>
      <c r="WD31" s="890">
        <f t="shared" si="285"/>
        <v>0</v>
      </c>
      <c r="WE31" s="868">
        <f t="shared" si="285"/>
        <v>0</v>
      </c>
      <c r="WF31" s="847">
        <f t="shared" si="285"/>
        <v>231544379.04000002</v>
      </c>
      <c r="WG31" s="858">
        <f t="shared" si="285"/>
        <v>60201538.560000002</v>
      </c>
      <c r="WH31" s="881">
        <f t="shared" si="285"/>
        <v>171342840.48000002</v>
      </c>
      <c r="WI31" s="847">
        <f t="shared" si="285"/>
        <v>142872999.25999999</v>
      </c>
      <c r="WJ31" s="829">
        <f t="shared" si="285"/>
        <v>37146979.82</v>
      </c>
      <c r="WK31" s="891">
        <f t="shared" si="285"/>
        <v>105726019.43999998</v>
      </c>
      <c r="WL31" s="847">
        <f t="shared" si="285"/>
        <v>48530786.649999999</v>
      </c>
      <c r="WM31" s="882">
        <f t="shared" si="285"/>
        <v>32939786.649999999</v>
      </c>
      <c r="WN31" s="881">
        <f t="shared" si="285"/>
        <v>15591000</v>
      </c>
      <c r="WO31" s="847">
        <f t="shared" si="285"/>
        <v>24099189.090000004</v>
      </c>
      <c r="WP31" s="829">
        <v>3350000</v>
      </c>
      <c r="WQ31" s="891">
        <f t="shared" si="285"/>
        <v>8020189.0899999989</v>
      </c>
      <c r="WR31" s="847">
        <f t="shared" si="285"/>
        <v>1798982279.8099999</v>
      </c>
      <c r="WS31" s="847">
        <f t="shared" si="285"/>
        <v>549308160.73000002</v>
      </c>
      <c r="WT31" s="847">
        <f t="shared" si="285"/>
        <v>0</v>
      </c>
      <c r="WU31" s="882">
        <f t="shared" si="285"/>
        <v>0</v>
      </c>
      <c r="WV31" s="881">
        <f t="shared" si="285"/>
        <v>0</v>
      </c>
      <c r="WW31" s="857">
        <f t="shared" si="285"/>
        <v>0</v>
      </c>
      <c r="WX31" s="882">
        <f t="shared" si="285"/>
        <v>0</v>
      </c>
      <c r="WY31" s="881">
        <f t="shared" si="285"/>
        <v>0</v>
      </c>
      <c r="WZ31" s="847">
        <f t="shared" si="285"/>
        <v>38555536.839999996</v>
      </c>
      <c r="XA31" s="882">
        <f t="shared" si="285"/>
        <v>1927776.8400000003</v>
      </c>
      <c r="XB31" s="881">
        <f t="shared" si="285"/>
        <v>36627760</v>
      </c>
      <c r="XC31" s="857">
        <f t="shared" si="285"/>
        <v>22931932.379999999</v>
      </c>
      <c r="XD31" s="882">
        <f t="shared" si="285"/>
        <v>1146596.7</v>
      </c>
      <c r="XE31" s="881">
        <f t="shared" si="285"/>
        <v>21785335.680000003</v>
      </c>
      <c r="XF31" s="847">
        <f t="shared" si="285"/>
        <v>266593709</v>
      </c>
      <c r="XG31" s="882">
        <f t="shared" si="285"/>
        <v>0</v>
      </c>
      <c r="XH31" s="881">
        <f t="shared" si="285"/>
        <v>266593709</v>
      </c>
      <c r="XI31" s="857">
        <f t="shared" si="285"/>
        <v>252543729.56999996</v>
      </c>
      <c r="XJ31" s="883">
        <f t="shared" si="285"/>
        <v>0</v>
      </c>
      <c r="XK31" s="876">
        <f t="shared" si="285"/>
        <v>252543729.56999996</v>
      </c>
      <c r="XL31" s="894">
        <f t="shared" si="285"/>
        <v>0</v>
      </c>
      <c r="XM31" s="895">
        <f t="shared" si="285"/>
        <v>0</v>
      </c>
      <c r="XN31" s="896">
        <f t="shared" si="285"/>
        <v>0</v>
      </c>
      <c r="XO31" s="897">
        <f t="shared" si="285"/>
        <v>0</v>
      </c>
      <c r="XP31" s="893">
        <f t="shared" si="285"/>
        <v>240950249.07999998</v>
      </c>
      <c r="XQ31" s="897">
        <f t="shared" si="285"/>
        <v>240950249.07999998</v>
      </c>
      <c r="XR31" s="893">
        <f t="shared" ref="XR31:AAC31" si="286">SUM(XR13:XR30)</f>
        <v>7504113.5299999993</v>
      </c>
      <c r="XS31" s="898">
        <f t="shared" si="286"/>
        <v>7504113.5299999993</v>
      </c>
      <c r="XT31" s="899">
        <f t="shared" si="286"/>
        <v>0</v>
      </c>
      <c r="XU31" s="900">
        <f t="shared" si="286"/>
        <v>0</v>
      </c>
      <c r="XV31" s="899">
        <f t="shared" si="286"/>
        <v>240950249.07999998</v>
      </c>
      <c r="XW31" s="900">
        <f t="shared" si="286"/>
        <v>7504113.5299999993</v>
      </c>
      <c r="XX31" s="893">
        <f t="shared" si="286"/>
        <v>855271886.53999996</v>
      </c>
      <c r="XY31" s="901">
        <f t="shared" si="286"/>
        <v>0</v>
      </c>
      <c r="XZ31" s="898">
        <f t="shared" si="286"/>
        <v>312759839.78999996</v>
      </c>
      <c r="YA31" s="898">
        <f t="shared" si="286"/>
        <v>8379862.2999999998</v>
      </c>
      <c r="YB31" s="897">
        <f t="shared" si="286"/>
        <v>0</v>
      </c>
      <c r="YC31" s="897">
        <f t="shared" si="286"/>
        <v>115383660</v>
      </c>
      <c r="YD31" s="898">
        <f t="shared" si="286"/>
        <v>358139469.10999995</v>
      </c>
      <c r="YE31" s="898">
        <f t="shared" si="286"/>
        <v>8058869.6000000006</v>
      </c>
      <c r="YF31" s="898">
        <f t="shared" si="286"/>
        <v>0</v>
      </c>
      <c r="YG31" s="897">
        <f t="shared" si="286"/>
        <v>0</v>
      </c>
      <c r="YH31" s="898">
        <f t="shared" si="286"/>
        <v>52550185.739999995</v>
      </c>
      <c r="YI31" s="893">
        <f t="shared" si="286"/>
        <v>174839236.11999997</v>
      </c>
      <c r="YJ31" s="898">
        <f t="shared" si="286"/>
        <v>0</v>
      </c>
      <c r="YK31" s="898">
        <f t="shared" si="286"/>
        <v>16188782.789999999</v>
      </c>
      <c r="YL31" s="901">
        <f t="shared" si="286"/>
        <v>375000</v>
      </c>
      <c r="YM31" s="898">
        <f t="shared" si="286"/>
        <v>0</v>
      </c>
      <c r="YN31" s="902">
        <f t="shared" si="286"/>
        <v>115383660</v>
      </c>
      <c r="YO31" s="898">
        <f t="shared" si="286"/>
        <v>15919759.49</v>
      </c>
      <c r="YP31" s="898">
        <f t="shared" si="286"/>
        <v>0</v>
      </c>
      <c r="YQ31" s="898">
        <f t="shared" si="286"/>
        <v>0</v>
      </c>
      <c r="YR31" s="898">
        <f t="shared" si="286"/>
        <v>0</v>
      </c>
      <c r="YS31" s="902">
        <f t="shared" si="286"/>
        <v>26972033.840000007</v>
      </c>
      <c r="YT31" s="847">
        <f t="shared" si="286"/>
        <v>397610898.35000002</v>
      </c>
      <c r="YU31" s="898">
        <f t="shared" si="286"/>
        <v>51888578.649999999</v>
      </c>
      <c r="YV31" s="898">
        <f t="shared" si="286"/>
        <v>51225900</v>
      </c>
      <c r="YW31" s="898">
        <f t="shared" si="286"/>
        <v>186086294.48000002</v>
      </c>
      <c r="YX31" s="897">
        <f t="shared" si="286"/>
        <v>44791312.649999999</v>
      </c>
      <c r="YY31" s="902">
        <f t="shared" si="286"/>
        <v>63618812.569999985</v>
      </c>
      <c r="YZ31" s="847">
        <f t="shared" si="286"/>
        <v>91489149.129999995</v>
      </c>
      <c r="ZA31" s="898">
        <f t="shared" si="286"/>
        <v>29774642.579999998</v>
      </c>
      <c r="ZB31" s="902">
        <f t="shared" si="286"/>
        <v>51225900</v>
      </c>
      <c r="ZC31" s="898">
        <f t="shared" si="286"/>
        <v>0</v>
      </c>
      <c r="ZD31" s="898">
        <f t="shared" si="286"/>
        <v>10488606.550000001</v>
      </c>
      <c r="ZE31" s="898">
        <f t="shared" si="286"/>
        <v>0</v>
      </c>
      <c r="ZF31" s="863">
        <f t="shared" si="286"/>
        <v>332468747.05000001</v>
      </c>
      <c r="ZG31" s="898">
        <f t="shared" si="286"/>
        <v>39589674.650000006</v>
      </c>
      <c r="ZH31" s="898">
        <f t="shared" si="286"/>
        <v>0</v>
      </c>
      <c r="ZI31" s="898">
        <f t="shared" si="286"/>
        <v>186086294.48000002</v>
      </c>
      <c r="ZJ31" s="898">
        <f t="shared" si="286"/>
        <v>44791312.649999999</v>
      </c>
      <c r="ZK31" s="898">
        <f t="shared" si="286"/>
        <v>62001465.269999988</v>
      </c>
      <c r="ZL31" s="863">
        <f t="shared" si="286"/>
        <v>31098791.760000002</v>
      </c>
      <c r="ZM31" s="898">
        <f t="shared" si="286"/>
        <v>20610185.210000001</v>
      </c>
      <c r="ZN31" s="898">
        <f t="shared" si="286"/>
        <v>0</v>
      </c>
      <c r="ZO31" s="898">
        <f t="shared" si="286"/>
        <v>0</v>
      </c>
      <c r="ZP31" s="898">
        <f t="shared" si="286"/>
        <v>10488606.550000001</v>
      </c>
      <c r="ZQ31" s="898">
        <f t="shared" si="286"/>
        <v>0</v>
      </c>
      <c r="ZR31" s="863">
        <f t="shared" si="286"/>
        <v>65142151.299999997</v>
      </c>
      <c r="ZS31" s="897">
        <f t="shared" si="286"/>
        <v>12298904</v>
      </c>
      <c r="ZT31" s="902">
        <f t="shared" si="286"/>
        <v>51225900</v>
      </c>
      <c r="ZU31" s="903">
        <f t="shared" si="286"/>
        <v>0</v>
      </c>
      <c r="ZV31" s="897">
        <f t="shared" si="286"/>
        <v>0</v>
      </c>
      <c r="ZW31" s="902">
        <f t="shared" si="286"/>
        <v>1617347.3000000003</v>
      </c>
      <c r="ZX31" s="863">
        <f t="shared" si="286"/>
        <v>60390357.369999997</v>
      </c>
      <c r="ZY31" s="902">
        <f t="shared" si="286"/>
        <v>9164457.3699999992</v>
      </c>
      <c r="ZZ31" s="902">
        <f t="shared" si="286"/>
        <v>51225900</v>
      </c>
      <c r="AAA31" s="902">
        <f t="shared" si="286"/>
        <v>0</v>
      </c>
      <c r="AAB31" s="898">
        <f t="shared" si="286"/>
        <v>0</v>
      </c>
      <c r="AAC31" s="898">
        <f t="shared" si="286"/>
        <v>0</v>
      </c>
      <c r="AAD31" s="904">
        <f t="shared" ref="AAD31:AAU31" si="287">SUM(AAD13:AAD30)</f>
        <v>-37900000</v>
      </c>
      <c r="AAE31" s="896">
        <f t="shared" si="287"/>
        <v>0</v>
      </c>
      <c r="AAF31" s="905">
        <f t="shared" si="287"/>
        <v>0</v>
      </c>
      <c r="AAG31" s="905">
        <f t="shared" si="287"/>
        <v>0</v>
      </c>
      <c r="AAH31" s="905">
        <f t="shared" si="287"/>
        <v>0</v>
      </c>
      <c r="AAI31" s="905">
        <f t="shared" si="287"/>
        <v>0</v>
      </c>
      <c r="AAJ31" s="906">
        <f t="shared" si="287"/>
        <v>0</v>
      </c>
      <c r="AAK31" s="907">
        <f t="shared" si="287"/>
        <v>0</v>
      </c>
      <c r="AAL31" s="908">
        <f t="shared" si="287"/>
        <v>0</v>
      </c>
      <c r="AAM31" s="908">
        <f t="shared" si="287"/>
        <v>0</v>
      </c>
      <c r="AAN31" s="905">
        <f t="shared" si="287"/>
        <v>-36700000</v>
      </c>
      <c r="AAO31" s="905">
        <f t="shared" si="287"/>
        <v>0</v>
      </c>
      <c r="AAP31" s="905">
        <f t="shared" si="287"/>
        <v>-1200000</v>
      </c>
      <c r="AAQ31" s="905">
        <f t="shared" si="287"/>
        <v>0</v>
      </c>
      <c r="AAR31" s="908">
        <f t="shared" si="287"/>
        <v>-550000</v>
      </c>
      <c r="AAS31" s="908">
        <f t="shared" si="287"/>
        <v>0</v>
      </c>
      <c r="AAT31" s="908">
        <f t="shared" si="287"/>
        <v>-650000</v>
      </c>
      <c r="AAU31" s="908">
        <f t="shared" si="287"/>
        <v>0</v>
      </c>
      <c r="AAV31" s="1246">
        <f>'Проверочная  таблица'!AAN31+'Проверочная  таблица'!AAP31</f>
        <v>-37900000</v>
      </c>
      <c r="AAW31" s="1246">
        <f>'Проверочная  таблица'!AAO31+'Проверочная  таблица'!AAQ31</f>
        <v>0</v>
      </c>
    </row>
    <row r="32" spans="1:725" ht="24" customHeight="1" x14ac:dyDescent="0.25">
      <c r="A32" s="909"/>
      <c r="B32" s="779"/>
      <c r="C32" s="910"/>
      <c r="D32" s="920"/>
      <c r="E32" s="920"/>
      <c r="F32" s="911"/>
      <c r="G32" s="912"/>
      <c r="H32" s="911"/>
      <c r="I32" s="912"/>
      <c r="J32" s="913"/>
      <c r="K32" s="914"/>
      <c r="L32" s="913"/>
      <c r="M32" s="914"/>
      <c r="N32" s="915"/>
      <c r="O32" s="912"/>
      <c r="P32" s="915"/>
      <c r="Q32" s="912"/>
      <c r="R32" s="916"/>
      <c r="S32" s="914"/>
      <c r="T32" s="916"/>
      <c r="U32" s="914"/>
      <c r="V32" s="911"/>
      <c r="W32" s="918"/>
      <c r="X32" s="917"/>
      <c r="Y32" s="917"/>
      <c r="Z32" s="911"/>
      <c r="AA32" s="1113"/>
      <c r="AB32" s="917"/>
      <c r="AC32" s="1115"/>
      <c r="AD32" s="911"/>
      <c r="AE32" s="918"/>
      <c r="AF32" s="917"/>
      <c r="AG32" s="911"/>
      <c r="AH32" s="918"/>
      <c r="AI32" s="917"/>
      <c r="AJ32" s="916"/>
      <c r="AK32" s="914"/>
      <c r="AL32" s="916"/>
      <c r="AM32" s="916"/>
      <c r="AN32" s="919"/>
      <c r="AO32" s="920"/>
      <c r="AP32" s="921"/>
      <c r="AQ32" s="810"/>
      <c r="AR32" s="806"/>
      <c r="AS32" s="921"/>
      <c r="AT32" s="765"/>
      <c r="AU32" s="765"/>
      <c r="AV32" s="846"/>
      <c r="AW32" s="922"/>
      <c r="AX32" s="921"/>
      <c r="AY32" s="765"/>
      <c r="AZ32" s="923"/>
      <c r="BA32" s="924"/>
      <c r="BB32" s="923"/>
      <c r="BC32" s="925"/>
      <c r="BD32" s="923"/>
      <c r="BE32" s="922"/>
      <c r="BF32" s="923"/>
      <c r="BG32" s="765"/>
      <c r="BH32" s="921"/>
      <c r="BI32" s="806"/>
      <c r="BJ32" s="921"/>
      <c r="BK32" s="926"/>
      <c r="BL32" s="921"/>
      <c r="BM32" s="922"/>
      <c r="BN32" s="921"/>
      <c r="BO32" s="765"/>
      <c r="BP32" s="927"/>
      <c r="BQ32" s="927"/>
      <c r="BR32" s="927"/>
      <c r="BS32" s="928"/>
      <c r="BT32" s="964"/>
      <c r="BU32" s="929"/>
      <c r="BV32" s="930"/>
      <c r="BW32" s="931"/>
      <c r="BX32" s="932"/>
      <c r="BY32" s="933"/>
      <c r="BZ32" s="932"/>
      <c r="CA32" s="933"/>
      <c r="CB32" s="846"/>
      <c r="CC32" s="806"/>
      <c r="CD32" s="806"/>
      <c r="CE32" s="921"/>
      <c r="CF32" s="765"/>
      <c r="CG32" s="765"/>
      <c r="CH32" s="1266"/>
      <c r="CI32" s="929"/>
      <c r="CJ32" s="930"/>
      <c r="CK32" s="929"/>
      <c r="CL32" s="934"/>
      <c r="CM32" s="826"/>
      <c r="CN32" s="934"/>
      <c r="CO32" s="826"/>
      <c r="CP32" s="846"/>
      <c r="CQ32" s="806"/>
      <c r="CR32" s="806"/>
      <c r="CS32" s="921"/>
      <c r="CT32" s="765"/>
      <c r="CU32" s="765"/>
      <c r="CV32" s="921"/>
      <c r="CW32" s="812"/>
      <c r="CX32" s="811"/>
      <c r="CY32" s="765"/>
      <c r="CZ32" s="813"/>
      <c r="DA32" s="765"/>
      <c r="DB32" s="813"/>
      <c r="DC32" s="921"/>
      <c r="DD32" s="925"/>
      <c r="DE32" s="811"/>
      <c r="DF32" s="765"/>
      <c r="DG32" s="813"/>
      <c r="DH32" s="765"/>
      <c r="DI32" s="813"/>
      <c r="DJ32" s="846"/>
      <c r="DK32" s="922"/>
      <c r="DL32" s="833"/>
      <c r="DM32" s="921"/>
      <c r="DN32" s="922"/>
      <c r="DO32" s="832"/>
      <c r="DP32" s="932"/>
      <c r="DQ32" s="933"/>
      <c r="DR32" s="932"/>
      <c r="DS32" s="933"/>
      <c r="DT32" s="846"/>
      <c r="DU32" s="812"/>
      <c r="DV32" s="812"/>
      <c r="DW32" s="806"/>
      <c r="DX32" s="921"/>
      <c r="DY32" s="806"/>
      <c r="DZ32" s="806"/>
      <c r="EA32" s="806"/>
      <c r="EB32" s="846"/>
      <c r="EC32" s="812"/>
      <c r="ED32" s="811"/>
      <c r="EE32" s="921"/>
      <c r="EF32" s="925"/>
      <c r="EG32" s="813"/>
      <c r="EH32" s="846"/>
      <c r="EI32" s="812"/>
      <c r="EJ32" s="813"/>
      <c r="EK32" s="846"/>
      <c r="EL32" s="926"/>
      <c r="EM32" s="935"/>
      <c r="EN32" s="846"/>
      <c r="EO32" s="922"/>
      <c r="EP32" s="922"/>
      <c r="EQ32" s="832"/>
      <c r="ER32" s="846"/>
      <c r="ES32" s="922"/>
      <c r="ET32" s="922"/>
      <c r="EU32" s="832"/>
      <c r="EV32" s="846"/>
      <c r="EW32" s="812"/>
      <c r="EX32" s="811"/>
      <c r="EY32" s="921"/>
      <c r="EZ32" s="812"/>
      <c r="FA32" s="811"/>
      <c r="FB32" s="846"/>
      <c r="FC32" s="922"/>
      <c r="FD32" s="833"/>
      <c r="FE32" s="921"/>
      <c r="FF32" s="922"/>
      <c r="FG32" s="832"/>
      <c r="FH32" s="846"/>
      <c r="FI32" s="922"/>
      <c r="FJ32" s="833"/>
      <c r="FK32" s="921"/>
      <c r="FL32" s="922"/>
      <c r="FM32" s="832"/>
      <c r="FN32" s="936"/>
      <c r="FO32" s="922"/>
      <c r="FP32" s="833"/>
      <c r="FQ32" s="923"/>
      <c r="FR32" s="922"/>
      <c r="FS32" s="832"/>
      <c r="FT32" s="936"/>
      <c r="FU32" s="922"/>
      <c r="FV32" s="833"/>
      <c r="FW32" s="923"/>
      <c r="FX32" s="922"/>
      <c r="FY32" s="832"/>
      <c r="FZ32" s="846"/>
      <c r="GA32" s="924"/>
      <c r="GB32" s="813"/>
      <c r="GC32" s="846"/>
      <c r="GD32" s="926"/>
      <c r="GE32" s="935"/>
      <c r="GF32" s="846"/>
      <c r="GG32" s="924"/>
      <c r="GH32" s="813"/>
      <c r="GI32" s="846"/>
      <c r="GJ32" s="926"/>
      <c r="GK32" s="935"/>
      <c r="GL32" s="936"/>
      <c r="GM32" s="924"/>
      <c r="GN32" s="813"/>
      <c r="GO32" s="936"/>
      <c r="GP32" s="926"/>
      <c r="GQ32" s="935"/>
      <c r="GR32" s="936"/>
      <c r="GS32" s="936"/>
      <c r="GT32" s="936"/>
      <c r="GU32" s="936"/>
      <c r="GV32" s="846"/>
      <c r="GW32" s="812"/>
      <c r="GX32" s="811"/>
      <c r="GY32" s="806"/>
      <c r="GZ32" s="846"/>
      <c r="HA32" s="926"/>
      <c r="HB32" s="935"/>
      <c r="HC32" s="922"/>
      <c r="HD32" s="936"/>
      <c r="HE32" s="922"/>
      <c r="HF32" s="936"/>
      <c r="HG32" s="922"/>
      <c r="HH32" s="936"/>
      <c r="HI32" s="936"/>
      <c r="HJ32" s="936"/>
      <c r="HK32" s="936"/>
      <c r="HL32" s="846"/>
      <c r="HM32" s="812"/>
      <c r="HN32" s="811"/>
      <c r="HO32" s="921"/>
      <c r="HP32" s="926"/>
      <c r="HQ32" s="935"/>
      <c r="HR32" s="846"/>
      <c r="HS32" s="812"/>
      <c r="HT32" s="811"/>
      <c r="HU32" s="921"/>
      <c r="HV32" s="926"/>
      <c r="HW32" s="935"/>
      <c r="HX32" s="846"/>
      <c r="HY32" s="812"/>
      <c r="HZ32" s="811"/>
      <c r="IA32" s="921"/>
      <c r="IB32" s="926"/>
      <c r="IC32" s="935"/>
      <c r="ID32" s="936"/>
      <c r="IE32" s="922"/>
      <c r="IF32" s="833"/>
      <c r="IG32" s="923"/>
      <c r="IH32" s="922"/>
      <c r="II32" s="832"/>
      <c r="IJ32" s="936"/>
      <c r="IK32" s="922"/>
      <c r="IL32" s="833"/>
      <c r="IM32" s="923"/>
      <c r="IN32" s="922"/>
      <c r="IO32" s="832"/>
      <c r="IP32" s="846"/>
      <c r="IQ32" s="812"/>
      <c r="IR32" s="811"/>
      <c r="IS32" s="921"/>
      <c r="IT32" s="926"/>
      <c r="IU32" s="935"/>
      <c r="IV32" s="1146"/>
      <c r="IW32" s="812"/>
      <c r="IX32" s="811"/>
      <c r="IY32" s="1147"/>
      <c r="IZ32" s="926"/>
      <c r="JA32" s="935"/>
      <c r="JB32" s="936"/>
      <c r="JC32" s="923"/>
      <c r="JD32" s="936"/>
      <c r="JE32" s="923"/>
      <c r="JF32" s="846"/>
      <c r="JG32" s="812"/>
      <c r="JH32" s="811"/>
      <c r="JI32" s="921"/>
      <c r="JJ32" s="926"/>
      <c r="JK32" s="935"/>
      <c r="JL32" s="846"/>
      <c r="JM32" s="812"/>
      <c r="JN32" s="811"/>
      <c r="JO32" s="921"/>
      <c r="JP32" s="926"/>
      <c r="JQ32" s="935"/>
      <c r="JR32" s="930"/>
      <c r="JS32" s="806"/>
      <c r="JT32" s="833"/>
      <c r="JU32" s="921"/>
      <c r="JV32" s="926"/>
      <c r="JW32" s="935"/>
      <c r="JX32" s="921"/>
      <c r="JY32" s="937"/>
      <c r="JZ32" s="935"/>
      <c r="KA32" s="921"/>
      <c r="KB32" s="765"/>
      <c r="KC32" s="935"/>
      <c r="KD32" s="923"/>
      <c r="KE32" s="925"/>
      <c r="KF32" s="935"/>
      <c r="KG32" s="934"/>
      <c r="KH32" s="765"/>
      <c r="KI32" s="938"/>
      <c r="KJ32" s="923"/>
      <c r="KK32" s="925"/>
      <c r="KL32" s="935"/>
      <c r="KM32" s="923"/>
      <c r="KN32" s="926"/>
      <c r="KO32" s="935"/>
      <c r="KP32" s="921"/>
      <c r="KQ32" s="806"/>
      <c r="KR32" s="813"/>
      <c r="KS32" s="806"/>
      <c r="KT32" s="813"/>
      <c r="KU32" s="921"/>
      <c r="KV32" s="765"/>
      <c r="KW32" s="939"/>
      <c r="KX32" s="765"/>
      <c r="KY32" s="939"/>
      <c r="KZ32" s="915"/>
      <c r="LA32" s="925"/>
      <c r="LB32" s="935"/>
      <c r="LC32" s="925"/>
      <c r="LD32" s="935"/>
      <c r="LE32" s="915"/>
      <c r="LF32" s="765"/>
      <c r="LG32" s="939"/>
      <c r="LH32" s="765"/>
      <c r="LI32" s="939"/>
      <c r="LJ32" s="916"/>
      <c r="LK32" s="925"/>
      <c r="LL32" s="935"/>
      <c r="LM32" s="916"/>
      <c r="LN32" s="925"/>
      <c r="LO32" s="935"/>
      <c r="LP32" s="940"/>
      <c r="LQ32" s="765"/>
      <c r="LR32" s="938"/>
      <c r="LS32" s="916"/>
      <c r="LT32" s="925"/>
      <c r="LU32" s="935"/>
      <c r="LV32" s="921"/>
      <c r="LW32" s="765"/>
      <c r="LX32" s="937"/>
      <c r="LY32" s="939"/>
      <c r="LZ32" s="921"/>
      <c r="MA32" s="765"/>
      <c r="MB32" s="765"/>
      <c r="MC32" s="939"/>
      <c r="MD32" s="921"/>
      <c r="ME32" s="765"/>
      <c r="MF32" s="765"/>
      <c r="MG32" s="939"/>
      <c r="MH32" s="921"/>
      <c r="MI32" s="765"/>
      <c r="MJ32" s="765"/>
      <c r="MK32" s="939"/>
      <c r="ML32" s="923"/>
      <c r="MM32" s="765"/>
      <c r="MN32" s="765"/>
      <c r="MO32" s="939"/>
      <c r="MP32" s="923"/>
      <c r="MQ32" s="765"/>
      <c r="MR32" s="765"/>
      <c r="MS32" s="939"/>
      <c r="MT32" s="923"/>
      <c r="MU32" s="765"/>
      <c r="MV32" s="765"/>
      <c r="MW32" s="939"/>
      <c r="MX32" s="923"/>
      <c r="MY32" s="765"/>
      <c r="MZ32" s="765"/>
      <c r="NA32" s="939"/>
      <c r="NB32" s="941"/>
      <c r="NC32" s="937"/>
      <c r="ND32" s="939"/>
      <c r="NE32" s="765"/>
      <c r="NF32" s="939"/>
      <c r="NG32" s="937"/>
      <c r="NH32" s="937"/>
      <c r="NI32" s="938"/>
      <c r="NJ32" s="942"/>
      <c r="NK32" s="765"/>
      <c r="NL32" s="939"/>
      <c r="NM32" s="926"/>
      <c r="NN32" s="935"/>
      <c r="NO32" s="765"/>
      <c r="NP32" s="765"/>
      <c r="NQ32" s="935"/>
      <c r="NR32" s="921"/>
      <c r="NS32" s="765"/>
      <c r="NT32" s="938"/>
      <c r="NU32" s="921"/>
      <c r="NV32" s="925"/>
      <c r="NW32" s="935"/>
      <c r="NX32" s="923"/>
      <c r="NY32" s="926"/>
      <c r="NZ32" s="935"/>
      <c r="OA32" s="923"/>
      <c r="OB32" s="765"/>
      <c r="OC32" s="938"/>
      <c r="OD32" s="923"/>
      <c r="OE32" s="765"/>
      <c r="OF32" s="938"/>
      <c r="OG32" s="923"/>
      <c r="OH32" s="765"/>
      <c r="OI32" s="935"/>
      <c r="OJ32" s="930"/>
      <c r="OK32" s="812"/>
      <c r="OL32" s="811"/>
      <c r="OM32" s="812"/>
      <c r="ON32" s="921"/>
      <c r="OO32" s="922"/>
      <c r="OP32" s="813"/>
      <c r="OQ32" s="922"/>
      <c r="OR32" s="921"/>
      <c r="OS32" s="770"/>
      <c r="OT32" s="767"/>
      <c r="OU32" s="770"/>
      <c r="OV32" s="921"/>
      <c r="OW32" s="925"/>
      <c r="OX32" s="935"/>
      <c r="OY32" s="765"/>
      <c r="OZ32" s="921"/>
      <c r="PA32" s="765"/>
      <c r="PB32" s="938"/>
      <c r="PC32" s="765"/>
      <c r="PD32" s="943"/>
      <c r="PE32" s="765"/>
      <c r="PF32" s="938"/>
      <c r="PG32" s="765"/>
      <c r="PH32" s="916"/>
      <c r="PI32" s="925"/>
      <c r="PJ32" s="935"/>
      <c r="PK32" s="765"/>
      <c r="PL32" s="916"/>
      <c r="PM32" s="925"/>
      <c r="PN32" s="935"/>
      <c r="PO32" s="765"/>
      <c r="PP32" s="940"/>
      <c r="PQ32" s="765"/>
      <c r="PR32" s="938"/>
      <c r="PS32" s="765"/>
      <c r="PT32" s="916"/>
      <c r="PU32" s="925"/>
      <c r="PV32" s="935"/>
      <c r="PW32" s="765"/>
      <c r="PX32" s="921"/>
      <c r="PY32" s="806"/>
      <c r="PZ32" s="832"/>
      <c r="QA32" s="806"/>
      <c r="QB32" s="832"/>
      <c r="QC32" s="921"/>
      <c r="QD32" s="806"/>
      <c r="QE32" s="832"/>
      <c r="QF32" s="806"/>
      <c r="QG32" s="832"/>
      <c r="QH32" s="921"/>
      <c r="QI32" s="806"/>
      <c r="QJ32" s="832"/>
      <c r="QK32" s="921"/>
      <c r="QL32" s="806"/>
      <c r="QM32" s="832"/>
      <c r="QN32" s="923"/>
      <c r="QO32" s="806"/>
      <c r="QP32" s="832"/>
      <c r="QQ32" s="923"/>
      <c r="QR32" s="806"/>
      <c r="QS32" s="832"/>
      <c r="QT32" s="923"/>
      <c r="QU32" s="806"/>
      <c r="QV32" s="832"/>
      <c r="QW32" s="923"/>
      <c r="QX32" s="806"/>
      <c r="QY32" s="832"/>
      <c r="QZ32" s="846"/>
      <c r="RA32" s="812"/>
      <c r="RB32" s="811"/>
      <c r="RC32" s="921"/>
      <c r="RD32" s="926"/>
      <c r="RE32" s="935"/>
      <c r="RF32" s="846"/>
      <c r="RG32" s="812"/>
      <c r="RH32" s="811"/>
      <c r="RI32" s="921"/>
      <c r="RJ32" s="926"/>
      <c r="RK32" s="935"/>
      <c r="RL32" s="846"/>
      <c r="RM32" s="812"/>
      <c r="RN32" s="811"/>
      <c r="RO32" s="921"/>
      <c r="RP32" s="926"/>
      <c r="RQ32" s="935"/>
      <c r="RR32" s="936"/>
      <c r="RS32" s="812"/>
      <c r="RT32" s="811"/>
      <c r="RU32" s="923"/>
      <c r="RV32" s="926"/>
      <c r="RW32" s="935"/>
      <c r="RX32" s="936"/>
      <c r="RY32" s="812"/>
      <c r="RZ32" s="811"/>
      <c r="SA32" s="923"/>
      <c r="SB32" s="926"/>
      <c r="SC32" s="935"/>
      <c r="SD32" s="846"/>
      <c r="SE32" s="924"/>
      <c r="SF32" s="813"/>
      <c r="SG32" s="921"/>
      <c r="SH32" s="925"/>
      <c r="SI32" s="813"/>
      <c r="SJ32" s="921"/>
      <c r="SK32" s="924"/>
      <c r="SL32" s="924"/>
      <c r="SM32" s="813"/>
      <c r="SN32" s="921"/>
      <c r="SO32" s="765"/>
      <c r="SP32" s="925"/>
      <c r="SQ32" s="813"/>
      <c r="SR32" s="846"/>
      <c r="SS32" s="922"/>
      <c r="ST32" s="833"/>
      <c r="SU32" s="921"/>
      <c r="SV32" s="925"/>
      <c r="SW32" s="813"/>
      <c r="SX32" s="921"/>
      <c r="SY32" s="806"/>
      <c r="SZ32" s="832"/>
      <c r="TA32" s="810"/>
      <c r="TB32" s="813"/>
      <c r="TC32" s="810"/>
      <c r="TD32" s="813"/>
      <c r="TE32" s="921"/>
      <c r="TF32" s="806"/>
      <c r="TG32" s="832"/>
      <c r="TH32" s="806"/>
      <c r="TI32" s="832"/>
      <c r="TJ32" s="806"/>
      <c r="TK32" s="813"/>
      <c r="TL32" s="921"/>
      <c r="TM32" s="806"/>
      <c r="TN32" s="832"/>
      <c r="TO32" s="812"/>
      <c r="TP32" s="813"/>
      <c r="TQ32" s="814"/>
      <c r="TR32" s="832"/>
      <c r="TS32" s="846"/>
      <c r="TT32" s="806"/>
      <c r="TU32" s="832"/>
      <c r="TV32" s="806"/>
      <c r="TW32" s="832"/>
      <c r="TX32" s="806"/>
      <c r="TY32" s="832"/>
      <c r="TZ32" s="936"/>
      <c r="UA32" s="806"/>
      <c r="UB32" s="832"/>
      <c r="UC32" s="806"/>
      <c r="UD32" s="832"/>
      <c r="UE32" s="812"/>
      <c r="UF32" s="813"/>
      <c r="UG32" s="936"/>
      <c r="UH32" s="806"/>
      <c r="UI32" s="832"/>
      <c r="UJ32" s="806"/>
      <c r="UK32" s="832"/>
      <c r="UL32" s="812"/>
      <c r="UM32" s="813"/>
      <c r="UN32" s="923"/>
      <c r="UO32" s="806"/>
      <c r="UP32" s="832"/>
      <c r="UQ32" s="806"/>
      <c r="UR32" s="832"/>
      <c r="US32" s="810"/>
      <c r="UT32" s="813"/>
      <c r="UU32" s="936"/>
      <c r="UV32" s="806"/>
      <c r="UW32" s="832"/>
      <c r="UX32" s="806"/>
      <c r="UY32" s="832"/>
      <c r="UZ32" s="806"/>
      <c r="VA32" s="832"/>
      <c r="VB32" s="921"/>
      <c r="VC32" s="921"/>
      <c r="VD32" s="846"/>
      <c r="VE32" s="942"/>
      <c r="VF32" s="914"/>
      <c r="VG32" s="916"/>
      <c r="VH32" s="914"/>
      <c r="VI32" s="916"/>
      <c r="VJ32" s="921"/>
      <c r="VK32" s="944"/>
      <c r="VL32" s="922"/>
      <c r="VM32" s="921"/>
      <c r="VN32" s="944"/>
      <c r="VO32" s="924"/>
      <c r="VP32" s="921"/>
      <c r="VQ32" s="943"/>
      <c r="VR32" s="921"/>
      <c r="VS32" s="943"/>
      <c r="VT32" s="921"/>
      <c r="VU32" s="943"/>
      <c r="VV32" s="921"/>
      <c r="VW32" s="943"/>
      <c r="VX32" s="846"/>
      <c r="VY32" s="942"/>
      <c r="VZ32" s="943"/>
      <c r="WA32" s="942"/>
      <c r="WB32" s="943"/>
      <c r="WC32" s="942"/>
      <c r="WD32" s="941"/>
      <c r="WE32" s="943"/>
      <c r="WF32" s="921"/>
      <c r="WG32" s="925"/>
      <c r="WH32" s="935"/>
      <c r="WI32" s="921"/>
      <c r="WJ32" s="765"/>
      <c r="WK32" s="938"/>
      <c r="WL32" s="921"/>
      <c r="WM32" s="944"/>
      <c r="WN32" s="813"/>
      <c r="WO32" s="921"/>
      <c r="WP32" s="765"/>
      <c r="WQ32" s="938"/>
      <c r="WR32" s="921"/>
      <c r="WS32" s="921"/>
      <c r="WT32" s="921"/>
      <c r="WU32" s="924"/>
      <c r="WV32" s="813"/>
      <c r="WW32" s="921"/>
      <c r="WX32" s="922"/>
      <c r="WY32" s="813"/>
      <c r="WZ32" s="921"/>
      <c r="XA32" s="924"/>
      <c r="XB32" s="813"/>
      <c r="XC32" s="921"/>
      <c r="XD32" s="922"/>
      <c r="XE32" s="813"/>
      <c r="XF32" s="921"/>
      <c r="XG32" s="922"/>
      <c r="XH32" s="833"/>
      <c r="XI32" s="921"/>
      <c r="XJ32" s="922"/>
      <c r="XK32" s="813"/>
      <c r="XL32" s="945"/>
      <c r="XM32" s="946"/>
      <c r="XN32" s="905"/>
      <c r="XO32" s="947"/>
      <c r="XP32" s="905"/>
      <c r="XQ32" s="947"/>
      <c r="XR32" s="905"/>
      <c r="XS32" s="947"/>
      <c r="XT32" s="948"/>
      <c r="XU32" s="948"/>
      <c r="XV32" s="948"/>
      <c r="XW32" s="948"/>
      <c r="XX32" s="949"/>
      <c r="XY32" s="950"/>
      <c r="XZ32" s="951"/>
      <c r="YA32" s="951"/>
      <c r="YB32" s="950"/>
      <c r="YC32" s="950"/>
      <c r="YD32" s="951"/>
      <c r="YE32" s="951"/>
      <c r="YF32" s="950"/>
      <c r="YG32" s="951"/>
      <c r="YH32" s="951"/>
      <c r="YI32" s="949"/>
      <c r="YJ32" s="806"/>
      <c r="YK32" s="806"/>
      <c r="YL32" s="950"/>
      <c r="YM32" s="806"/>
      <c r="YN32" s="806"/>
      <c r="YO32" s="806"/>
      <c r="YP32" s="806"/>
      <c r="YQ32" s="806"/>
      <c r="YR32" s="806"/>
      <c r="YS32" s="806"/>
      <c r="YT32" s="921"/>
      <c r="YU32" s="951"/>
      <c r="YV32" s="951"/>
      <c r="YW32" s="951"/>
      <c r="YX32" s="806"/>
      <c r="YY32" s="952"/>
      <c r="YZ32" s="921"/>
      <c r="ZA32" s="951"/>
      <c r="ZB32" s="951"/>
      <c r="ZC32" s="951"/>
      <c r="ZD32" s="806"/>
      <c r="ZE32" s="952"/>
      <c r="ZF32" s="923"/>
      <c r="ZG32" s="951"/>
      <c r="ZH32" s="951"/>
      <c r="ZI32" s="951"/>
      <c r="ZJ32" s="951"/>
      <c r="ZK32" s="951"/>
      <c r="ZL32" s="923"/>
      <c r="ZM32" s="951"/>
      <c r="ZN32" s="951"/>
      <c r="ZO32" s="951"/>
      <c r="ZP32" s="951"/>
      <c r="ZQ32" s="951"/>
      <c r="ZR32" s="923"/>
      <c r="ZS32" s="953"/>
      <c r="ZT32" s="953"/>
      <c r="ZU32" s="953"/>
      <c r="ZV32" s="806"/>
      <c r="ZW32" s="952"/>
      <c r="ZX32" s="923"/>
      <c r="ZY32" s="951"/>
      <c r="ZZ32" s="951"/>
      <c r="AAA32" s="951"/>
      <c r="AAB32" s="806"/>
      <c r="AAC32" s="952"/>
      <c r="AAD32" s="954"/>
      <c r="AAE32" s="949"/>
      <c r="AAF32" s="482"/>
      <c r="AAG32" s="482"/>
      <c r="AAH32" s="482"/>
      <c r="AAI32" s="482"/>
      <c r="AAJ32" s="955"/>
      <c r="AAK32" s="955"/>
      <c r="AAL32" s="955"/>
      <c r="AAM32" s="955"/>
      <c r="AAN32" s="482"/>
      <c r="AAO32" s="482"/>
      <c r="AAP32" s="482"/>
      <c r="AAQ32" s="482"/>
      <c r="AAR32" s="955"/>
      <c r="AAS32" s="955"/>
      <c r="AAT32" s="955"/>
      <c r="AAU32" s="955"/>
      <c r="AAV32" s="1246">
        <f>'Проверочная  таблица'!AAN32+'Проверочная  таблица'!AAP32</f>
        <v>0</v>
      </c>
      <c r="AAW32" s="1246">
        <f>'Проверочная  таблица'!AAO32+'Проверочная  таблица'!AAQ32</f>
        <v>0</v>
      </c>
    </row>
    <row r="33" spans="1:725" ht="24" customHeight="1" x14ac:dyDescent="0.25">
      <c r="A33" s="956" t="s">
        <v>1319</v>
      </c>
      <c r="B33" s="801">
        <f>D33+AN33+'Проверочная  таблица'!VJ33+'Проверочная  таблица'!WR33</f>
        <v>3237576509.8199997</v>
      </c>
      <c r="C33" s="957">
        <f>E33+'Проверочная  таблица'!VM33+AO33+'Проверочная  таблица'!WS33</f>
        <v>1273240438.1300001</v>
      </c>
      <c r="D33" s="1234">
        <f>F33+P33+N33+V33+AD33+H33</f>
        <v>724470268</v>
      </c>
      <c r="E33" s="801">
        <f>G33+Q33+O33+Z33+AG33+I33</f>
        <v>186203389.91</v>
      </c>
      <c r="F33" s="1238">
        <f>'[1]Дотация  из  ОБ_факт'!M28</f>
        <v>468220268</v>
      </c>
      <c r="G33" s="1247">
        <v>36203389.909999996</v>
      </c>
      <c r="H33" s="1238">
        <f>'[1]Дотация  из  ОБ_факт'!G28</f>
        <v>0</v>
      </c>
      <c r="I33" s="1247"/>
      <c r="J33" s="1248">
        <f>H33-L33</f>
        <v>0</v>
      </c>
      <c r="K33" s="1249">
        <f>I33-M33</f>
        <v>0</v>
      </c>
      <c r="L33" s="1248">
        <f>'[1]Дотация  из  ОБ_факт'!K28</f>
        <v>0</v>
      </c>
      <c r="M33" s="785"/>
      <c r="N33" s="1238">
        <f>'[1]Дотация  из  ОБ_факт'!Q28</f>
        <v>255450000</v>
      </c>
      <c r="O33" s="1247">
        <v>150000000</v>
      </c>
      <c r="P33" s="1238">
        <f>'[1]Дотация  из  ОБ_факт'!S28</f>
        <v>0</v>
      </c>
      <c r="Q33" s="1247"/>
      <c r="R33" s="1248">
        <f>P33-T33</f>
        <v>0</v>
      </c>
      <c r="S33" s="1249">
        <f>Q33-U33</f>
        <v>0</v>
      </c>
      <c r="T33" s="1248">
        <f>'[1]Дотация  из  ОБ_факт'!W28</f>
        <v>0</v>
      </c>
      <c r="U33" s="785"/>
      <c r="V33" s="790">
        <f>SUM(W33:Y33)</f>
        <v>800000</v>
      </c>
      <c r="W33" s="1250">
        <f>'[1]Дотация  из  ОБ_факт'!AA28</f>
        <v>0</v>
      </c>
      <c r="X33" s="1251">
        <f>'[1]Дотация  из  ОБ_факт'!AC28</f>
        <v>800000</v>
      </c>
      <c r="Y33" s="1251">
        <f>'[1]Дотация  из  ОБ_факт'!AG28</f>
        <v>0</v>
      </c>
      <c r="Z33" s="790">
        <f>SUM(AA33:AC33)</f>
        <v>0</v>
      </c>
      <c r="AA33" s="799">
        <f t="shared" ref="AA33:AA34" si="288">W33</f>
        <v>0</v>
      </c>
      <c r="AB33" s="786"/>
      <c r="AC33" s="1116"/>
      <c r="AD33" s="790">
        <f>SUM(AE33:AF33)</f>
        <v>0</v>
      </c>
      <c r="AE33" s="787"/>
      <c r="AF33" s="786"/>
      <c r="AG33" s="790">
        <f>SUM(AH33:AI33)</f>
        <v>0</v>
      </c>
      <c r="AH33" s="787"/>
      <c r="AI33" s="786"/>
      <c r="AJ33" s="1248">
        <f>AD33-AL33</f>
        <v>0</v>
      </c>
      <c r="AK33" s="1249">
        <f>AG33-AM33</f>
        <v>0</v>
      </c>
      <c r="AL33" s="1248">
        <f>'[1]Дотация  из  ОБ_факт'!AE28</f>
        <v>0</v>
      </c>
      <c r="AM33" s="788"/>
      <c r="AN33" s="919">
        <f>'Проверочная  таблица'!VB33+'Проверочная  таблица'!VD33+BT33+BV33+CH33+CJ33+BH33+BL33+'Проверочная  таблица'!NB33+'Проверочная  таблица'!NR33+'Проверочная  таблица'!EB33+'Проверочная  таблица'!OJ33+DT33+'Проверочная  таблица'!JR33+'Проверочная  таблица'!JX33+'Проверочная  таблица'!OR33+'Проверочная  таблица'!OZ33+JL33+AP33+AV33+FB33+FH33+CV33+SX33+EH33+TL33+QH33+EN33+EV33+LV33+MD33+SR33+GV33+SD33+RF33+KP33+KZ33+RL33+SJ33+CP33+QZ33+HL33+GF33+HR33+HX33+FZ33+DJ33+PX33+CB33+IP33+JF33+HD33+GL33+IV33</f>
        <v>745491362.93000007</v>
      </c>
      <c r="AO33" s="920">
        <f>'Проверочная  таблица'!VC33+'Проверочная  таблица'!VE33+BU33+BW33+CI33+CK33+BJ33+BN33+'Проверочная  таблица'!NJ33+'Проверочная  таблица'!NU33+'Проверочная  таблица'!EE33+'Проверочная  таблица'!ON33+DX33+'Проверочная  таблица'!JU33+'Проверочная  таблица'!KA33+'Проверочная  таблица'!OV33+'Проверочная  таблица'!PD33+JO33+AS33+AX33+FE33+FK33+DC33+TE33+EK33+TS33+QK33+ER33+EY33+LZ33+MH33+SU33+GZ33+SG33+RI33+KU33+LE33+RO33+SN33+CS33+RC33+HO33+GI33+HU33+IA33+GC33+DM33+QC33+CE33+IS33+JI33+HF33+GO33+IY33</f>
        <v>254849271.56999999</v>
      </c>
      <c r="AP33" s="957">
        <f>SUM(AQ33:AR33)</f>
        <v>0</v>
      </c>
      <c r="AQ33" s="789">
        <f>[1]Субсидия_факт!HV30</f>
        <v>0</v>
      </c>
      <c r="AR33" s="770">
        <f>[1]Субсидия_факт!MR30</f>
        <v>0</v>
      </c>
      <c r="AS33" s="957">
        <f>SUM(AT33:AU33)</f>
        <v>0</v>
      </c>
      <c r="AT33" s="766"/>
      <c r="AU33" s="766"/>
      <c r="AV33" s="801"/>
      <c r="AW33" s="770"/>
      <c r="AX33" s="957"/>
      <c r="AY33" s="770"/>
      <c r="AZ33" s="783"/>
      <c r="BA33" s="766"/>
      <c r="BB33" s="783"/>
      <c r="BC33" s="789"/>
      <c r="BD33" s="1235"/>
      <c r="BE33" s="770"/>
      <c r="BF33" s="783"/>
      <c r="BG33" s="770"/>
      <c r="BH33" s="957">
        <f>SUM(BI33:BI33)</f>
        <v>35219325.390000001</v>
      </c>
      <c r="BI33" s="770">
        <f>[1]Субсидия_факт!KZ30</f>
        <v>35219325.390000001</v>
      </c>
      <c r="BJ33" s="957">
        <f>SUM(BK33:BK33)</f>
        <v>0</v>
      </c>
      <c r="BK33" s="770"/>
      <c r="BL33" s="957"/>
      <c r="BM33" s="766"/>
      <c r="BN33" s="957"/>
      <c r="BO33" s="770"/>
      <c r="BP33" s="1235"/>
      <c r="BQ33" s="783"/>
      <c r="BR33" s="1252"/>
      <c r="BS33" s="1235"/>
      <c r="BT33" s="801">
        <f>[1]Субсидия_факт!GV30</f>
        <v>0</v>
      </c>
      <c r="BU33" s="790"/>
      <c r="BV33" s="1253"/>
      <c r="BW33" s="792"/>
      <c r="BX33" s="783"/>
      <c r="BY33" s="1252"/>
      <c r="BZ33" s="783"/>
      <c r="CA33" s="785"/>
      <c r="CB33" s="801">
        <f>SUM(CC33:CD33)</f>
        <v>37759000</v>
      </c>
      <c r="CC33" s="766">
        <f>[1]Субсидия_факт!HL30</f>
        <v>37759000</v>
      </c>
      <c r="CD33" s="770">
        <f>[1]Субсидия_факт!HN30</f>
        <v>0</v>
      </c>
      <c r="CE33" s="957">
        <f>SUM(CF33:CG33)</f>
        <v>0</v>
      </c>
      <c r="CF33" s="770"/>
      <c r="CG33" s="770"/>
      <c r="CH33" s="1253">
        <f>[1]Субсидия_факт!HB30</f>
        <v>0</v>
      </c>
      <c r="CI33" s="790"/>
      <c r="CJ33" s="1234"/>
      <c r="CK33" s="790"/>
      <c r="CL33" s="802"/>
      <c r="CM33" s="783"/>
      <c r="CN33" s="1252"/>
      <c r="CO33" s="788"/>
      <c r="CP33" s="801">
        <f>SUM(CQ33:CR33)</f>
        <v>25590065.600000001</v>
      </c>
      <c r="CQ33" s="770">
        <f>[1]Субсидия_факт!HP30</f>
        <v>25590065.600000001</v>
      </c>
      <c r="CR33" s="770">
        <f>[1]Субсидия_факт!HR30</f>
        <v>0</v>
      </c>
      <c r="CS33" s="957">
        <f>SUM(CT33:CU33)</f>
        <v>0</v>
      </c>
      <c r="CT33" s="770"/>
      <c r="CU33" s="766"/>
      <c r="CV33" s="957">
        <f>SUM(CW33:DB33)</f>
        <v>0</v>
      </c>
      <c r="CW33" s="766">
        <f>[1]Субсидия_факт!LR30</f>
        <v>0</v>
      </c>
      <c r="CX33" s="793">
        <f>[1]Субсидия_факт!LT30</f>
        <v>0</v>
      </c>
      <c r="CY33" s="770">
        <f>[1]Субсидия_факт!LV30</f>
        <v>0</v>
      </c>
      <c r="CZ33" s="793">
        <f>[1]Субсидия_факт!MB30</f>
        <v>0</v>
      </c>
      <c r="DA33" s="770">
        <f>[1]Субсидия_факт!MH30</f>
        <v>0</v>
      </c>
      <c r="DB33" s="767">
        <f>[1]Субсидия_факт!MJ30</f>
        <v>0</v>
      </c>
      <c r="DC33" s="957">
        <f>SUM(DD33:DI33)</f>
        <v>0</v>
      </c>
      <c r="DD33" s="789"/>
      <c r="DE33" s="793"/>
      <c r="DF33" s="770"/>
      <c r="DG33" s="793"/>
      <c r="DH33" s="770"/>
      <c r="DI33" s="793"/>
      <c r="DJ33" s="801"/>
      <c r="DK33" s="766"/>
      <c r="DL33" s="767"/>
      <c r="DM33" s="957"/>
      <c r="DN33" s="766"/>
      <c r="DO33" s="767"/>
      <c r="DP33" s="802"/>
      <c r="DQ33" s="783"/>
      <c r="DR33" s="1252"/>
      <c r="DS33" s="788"/>
      <c r="DT33" s="957">
        <f t="shared" ref="DT33:DT34" si="289">SUM(DU33:DW33)</f>
        <v>0</v>
      </c>
      <c r="DU33" s="766">
        <f>[1]Субсидия_факт!R30</f>
        <v>0</v>
      </c>
      <c r="DV33" s="766">
        <f>[1]Субсидия_факт!T30</f>
        <v>0</v>
      </c>
      <c r="DW33" s="770">
        <f>[1]Субсидия_факт!V30</f>
        <v>0</v>
      </c>
      <c r="DX33" s="957">
        <f t="shared" ref="DX33:DX34" si="290">SUM(DY33:EA33)</f>
        <v>0</v>
      </c>
      <c r="DY33" s="770"/>
      <c r="DZ33" s="770"/>
      <c r="EA33" s="770"/>
      <c r="EB33" s="801">
        <f t="shared" ref="EB33:EB34" si="291">SUM(EC33:ED33)</f>
        <v>0</v>
      </c>
      <c r="EC33" s="766">
        <f>[1]Субсидия_факт!AX30</f>
        <v>0</v>
      </c>
      <c r="ED33" s="767">
        <f>[1]Субсидия_факт!AZ30</f>
        <v>0</v>
      </c>
      <c r="EE33" s="957">
        <f t="shared" ref="EE33:EE34" si="292">SUM(EF33:EG33)</f>
        <v>0</v>
      </c>
      <c r="EF33" s="789"/>
      <c r="EG33" s="793"/>
      <c r="EH33" s="957">
        <f>SUM(EI33:EJ33)</f>
        <v>0</v>
      </c>
      <c r="EI33" s="766">
        <f>[1]Субсидия_факт!X30</f>
        <v>0</v>
      </c>
      <c r="EJ33" s="767">
        <f>[1]Субсидия_факт!Z30</f>
        <v>0</v>
      </c>
      <c r="EK33" s="957">
        <f>SUM(EL33:EM33)</f>
        <v>0</v>
      </c>
      <c r="EL33" s="766"/>
      <c r="EM33" s="767"/>
      <c r="EN33" s="957">
        <f t="shared" ref="EN33:EN34" si="293">SUM(EO33:EQ33)</f>
        <v>0</v>
      </c>
      <c r="EO33" s="770">
        <f>[1]Субсидия_факт!AP30</f>
        <v>0</v>
      </c>
      <c r="EP33" s="766">
        <f>[1]Субсидия_факт!AL30</f>
        <v>0</v>
      </c>
      <c r="EQ33" s="767">
        <f>[1]Субсидия_факт!AN30</f>
        <v>0</v>
      </c>
      <c r="ER33" s="957">
        <f t="shared" ref="ER33:ER34" si="294">SUM(ES33:EU33)</f>
        <v>0</v>
      </c>
      <c r="ES33" s="766"/>
      <c r="ET33" s="766"/>
      <c r="EU33" s="767"/>
      <c r="EV33" s="801">
        <f t="shared" ref="EV33:EV34" si="295">SUM(EW33:EX33)</f>
        <v>0</v>
      </c>
      <c r="EW33" s="766">
        <f>[1]Субсидия_факт!HH30</f>
        <v>0</v>
      </c>
      <c r="EX33" s="767">
        <f>[1]Субсидия_факт!HJ30</f>
        <v>0</v>
      </c>
      <c r="EY33" s="957">
        <f t="shared" ref="EY33:EY34" si="296">SUM(EZ33:FA33)</f>
        <v>0</v>
      </c>
      <c r="EZ33" s="766"/>
      <c r="FA33" s="767"/>
      <c r="FB33" s="957">
        <f t="shared" ref="FB33:FB34" si="297">SUM(FC33:FD33)</f>
        <v>0</v>
      </c>
      <c r="FC33" s="766">
        <f>[1]Субсидия_факт!PK30</f>
        <v>0</v>
      </c>
      <c r="FD33" s="767">
        <f>[1]Субсидия_факт!PQ30</f>
        <v>0</v>
      </c>
      <c r="FE33" s="957">
        <f>SUM(FF33:FG33)</f>
        <v>0</v>
      </c>
      <c r="FF33" s="766"/>
      <c r="FG33" s="767"/>
      <c r="FH33" s="801"/>
      <c r="FI33" s="766"/>
      <c r="FJ33" s="767"/>
      <c r="FK33" s="957"/>
      <c r="FL33" s="766"/>
      <c r="FM33" s="767"/>
      <c r="FN33" s="1235">
        <f t="shared" ref="FN33:FN34" si="298">SUM(FO33:FP33)</f>
        <v>0</v>
      </c>
      <c r="FO33" s="766">
        <f t="shared" ref="FO33:FP34" si="299">FI33-FU33</f>
        <v>0</v>
      </c>
      <c r="FP33" s="793">
        <f t="shared" si="299"/>
        <v>0</v>
      </c>
      <c r="FQ33" s="783">
        <f t="shared" ref="FQ33:FQ34" si="300">SUM(FR33:FS33)</f>
        <v>0</v>
      </c>
      <c r="FR33" s="766">
        <f t="shared" ref="FR33:FS34" si="301">FL33-FX33</f>
        <v>0</v>
      </c>
      <c r="FS33" s="793">
        <f t="shared" si="301"/>
        <v>0</v>
      </c>
      <c r="FT33" s="1235">
        <f t="shared" ref="FT33:FT34" si="302">SUM(FU33:FV33)</f>
        <v>0</v>
      </c>
      <c r="FU33" s="766">
        <f>[1]Субсидия_факт!PO30</f>
        <v>0</v>
      </c>
      <c r="FV33" s="793">
        <f>[1]Субсидия_факт!PU30</f>
        <v>0</v>
      </c>
      <c r="FW33" s="783">
        <f t="shared" ref="FW33:FW34" si="303">SUM(FX33:FY33)</f>
        <v>0</v>
      </c>
      <c r="FX33" s="766"/>
      <c r="FY33" s="767"/>
      <c r="FZ33" s="801">
        <f t="shared" ref="FZ33:FZ34" si="304">SUM(GA33:GB33)</f>
        <v>0</v>
      </c>
      <c r="GA33" s="766">
        <f>[1]Субсидия_факт!EP30</f>
        <v>0</v>
      </c>
      <c r="GB33" s="767">
        <f>[1]Субсидия_факт!ER30</f>
        <v>0</v>
      </c>
      <c r="GC33" s="801">
        <f t="shared" ref="GC33:GC34" si="305">SUM(GD33:GE33)</f>
        <v>0</v>
      </c>
      <c r="GD33" s="766"/>
      <c r="GE33" s="767"/>
      <c r="GF33" s="801">
        <f t="shared" ref="GF33:GF34" si="306">SUM(GG33:GH33)</f>
        <v>0</v>
      </c>
      <c r="GG33" s="766">
        <f>[1]Субсидия_факт!JN30</f>
        <v>0</v>
      </c>
      <c r="GH33" s="767">
        <f>[1]Субсидия_факт!JP30</f>
        <v>0</v>
      </c>
      <c r="GI33" s="801">
        <f t="shared" ref="GI33:GI34" si="307">SUM(GJ33:GK33)</f>
        <v>0</v>
      </c>
      <c r="GJ33" s="766"/>
      <c r="GK33" s="767"/>
      <c r="GL33" s="1235">
        <f t="shared" ref="GL33:GL34" si="308">SUM(GM33:GN33)</f>
        <v>0</v>
      </c>
      <c r="GM33" s="766">
        <f>[1]Субсидия_факт!JR30</f>
        <v>0</v>
      </c>
      <c r="GN33" s="767">
        <f>[1]Субсидия_факт!JV30</f>
        <v>0</v>
      </c>
      <c r="GO33" s="1235">
        <f t="shared" ref="GO33:GO34" si="309">SUM(GP33:GQ33)</f>
        <v>0</v>
      </c>
      <c r="GP33" s="766"/>
      <c r="GQ33" s="767"/>
      <c r="GR33" s="1235">
        <f t="shared" ref="GR33:GR34" si="310">GL33-GT33</f>
        <v>0</v>
      </c>
      <c r="GS33" s="783">
        <f t="shared" ref="GS33:GS34" si="311">GO33-GU33</f>
        <v>0</v>
      </c>
      <c r="GT33" s="1252">
        <f t="shared" ref="GT33:GT34" si="312">GL33</f>
        <v>0</v>
      </c>
      <c r="GU33" s="783">
        <f t="shared" ref="GU33:GU34" si="313">GO33</f>
        <v>0</v>
      </c>
      <c r="GV33" s="801">
        <f>SUM(GW33:GY33)</f>
        <v>315192127.60000002</v>
      </c>
      <c r="GW33" s="766">
        <f>[1]Субсидия_факт!KL30</f>
        <v>0</v>
      </c>
      <c r="GX33" s="767">
        <f>[1]Субсидия_факт!KN30</f>
        <v>0</v>
      </c>
      <c r="GY33" s="766">
        <f>[1]Субсидия_факт!KP30</f>
        <v>315192127.60000002</v>
      </c>
      <c r="GZ33" s="801">
        <f>SUM(HA33:HC33)</f>
        <v>131908592.97999999</v>
      </c>
      <c r="HA33" s="770"/>
      <c r="HB33" s="794"/>
      <c r="HC33" s="770">
        <v>131908592.97999999</v>
      </c>
      <c r="HD33" s="1235"/>
      <c r="HE33" s="770"/>
      <c r="HF33" s="1235"/>
      <c r="HG33" s="766"/>
      <c r="HH33" s="1235">
        <f t="shared" ref="HH33:HH34" si="314">HD33-HJ33</f>
        <v>0</v>
      </c>
      <c r="HI33" s="1235">
        <f t="shared" ref="HI33:HI34" si="315">HF33-HK33</f>
        <v>0</v>
      </c>
      <c r="HJ33" s="1235">
        <f t="shared" ref="HJ33:HJ34" si="316">HD33</f>
        <v>0</v>
      </c>
      <c r="HK33" s="1235">
        <f t="shared" ref="HK33:HK34" si="317">HF33</f>
        <v>0</v>
      </c>
      <c r="HL33" s="801">
        <f t="shared" ref="HL33:HL34" si="318">SUM(HM33:HN33)</f>
        <v>0</v>
      </c>
      <c r="HM33" s="766">
        <f>[1]Субсидия_факт!KV30</f>
        <v>0</v>
      </c>
      <c r="HN33" s="767">
        <f>[1]Субсидия_факт!KX30</f>
        <v>0</v>
      </c>
      <c r="HO33" s="957">
        <f t="shared" ref="HO33:HO34" si="319">SUM(HP33:HQ33)</f>
        <v>0</v>
      </c>
      <c r="HP33" s="770"/>
      <c r="HQ33" s="794"/>
      <c r="HR33" s="801">
        <f t="shared" ref="HR33:HR34" si="320">SUM(HS33:HT33)</f>
        <v>1526316.1799999997</v>
      </c>
      <c r="HS33" s="766">
        <f>[1]Субсидия_факт!FV30</f>
        <v>1526316.1799999997</v>
      </c>
      <c r="HT33" s="767">
        <f>[1]Субсидия_факт!FZ30</f>
        <v>0</v>
      </c>
      <c r="HU33" s="957">
        <f t="shared" ref="HU33:HU34" si="321">SUM(HV33:HW33)</f>
        <v>0</v>
      </c>
      <c r="HV33" s="770"/>
      <c r="HW33" s="794"/>
      <c r="HX33" s="801">
        <f t="shared" ref="HX33:HX34" si="322">SUM(HY33:HZ33)</f>
        <v>0</v>
      </c>
      <c r="HY33" s="766"/>
      <c r="HZ33" s="767"/>
      <c r="IA33" s="957">
        <f t="shared" ref="IA33:IA34" si="323">SUM(IB33:IC33)</f>
        <v>0</v>
      </c>
      <c r="IB33" s="770"/>
      <c r="IC33" s="794"/>
      <c r="ID33" s="1235">
        <f t="shared" ref="ID33:ID34" si="324">SUM(IE33:IF33)</f>
        <v>0</v>
      </c>
      <c r="IE33" s="766">
        <f t="shared" ref="IE33:IF34" si="325">HY33-IK33</f>
        <v>0</v>
      </c>
      <c r="IF33" s="793">
        <f t="shared" si="325"/>
        <v>0</v>
      </c>
      <c r="IG33" s="783">
        <f t="shared" ref="IG33:IG34" si="326">SUM(IH33:II33)</f>
        <v>0</v>
      </c>
      <c r="IH33" s="766">
        <f t="shared" ref="IH33:II34" si="327">IB33-IN33</f>
        <v>0</v>
      </c>
      <c r="II33" s="793">
        <f t="shared" si="327"/>
        <v>0</v>
      </c>
      <c r="IJ33" s="1235">
        <f t="shared" ref="IJ33:IJ34" si="328">SUM(IK33:IL33)</f>
        <v>0</v>
      </c>
      <c r="IK33" s="766"/>
      <c r="IL33" s="793"/>
      <c r="IM33" s="783">
        <f t="shared" ref="IM33:IM34" si="329">SUM(IN33:IO33)</f>
        <v>0</v>
      </c>
      <c r="IN33" s="766"/>
      <c r="IO33" s="767"/>
      <c r="IP33" s="801">
        <f t="shared" ref="IP33:IP34" si="330">SUM(IQ33:IR33)</f>
        <v>0</v>
      </c>
      <c r="IQ33" s="766">
        <f>[1]Субсидия_факт!ED30</f>
        <v>0</v>
      </c>
      <c r="IR33" s="767">
        <f>[1]Субсидия_факт!EF30</f>
        <v>0</v>
      </c>
      <c r="IS33" s="957">
        <f t="shared" ref="IS33:IS34" si="331">SUM(IT33:IU33)</f>
        <v>0</v>
      </c>
      <c r="IT33" s="770"/>
      <c r="IU33" s="794"/>
      <c r="IV33" s="1259">
        <f t="shared" ref="IV33:IV34" si="332">SUM(IW33:IX33)</f>
        <v>0</v>
      </c>
      <c r="IW33" s="766"/>
      <c r="IX33" s="767"/>
      <c r="IY33" s="1254">
        <f t="shared" ref="IY33:IY34" si="333">SUM(IZ33:JA33)</f>
        <v>0</v>
      </c>
      <c r="IZ33" s="770"/>
      <c r="JA33" s="794"/>
      <c r="JB33" s="1235"/>
      <c r="JC33" s="783"/>
      <c r="JD33" s="1235"/>
      <c r="JE33" s="783"/>
      <c r="JF33" s="801">
        <f t="shared" ref="JF33:JF34" si="334">SUM(JG33:JH33)</f>
        <v>0</v>
      </c>
      <c r="JG33" s="766">
        <f>[1]Субсидия_факт!BX30</f>
        <v>0</v>
      </c>
      <c r="JH33" s="767">
        <f>[1]Субсидия_факт!BZ30</f>
        <v>0</v>
      </c>
      <c r="JI33" s="957">
        <f t="shared" ref="JI33:JI34" si="335">SUM(JJ33:JK33)</f>
        <v>0</v>
      </c>
      <c r="JJ33" s="770"/>
      <c r="JK33" s="794"/>
      <c r="JL33" s="801">
        <f t="shared" ref="JL33:JL34" si="336">SUM(JM33:JN33)</f>
        <v>3362567.57</v>
      </c>
      <c r="JM33" s="766">
        <f>[1]Субсидия_факт!ET30</f>
        <v>874267.56999999983</v>
      </c>
      <c r="JN33" s="767">
        <f>[1]Субсидия_факт!EV30</f>
        <v>2488300</v>
      </c>
      <c r="JO33" s="957">
        <f t="shared" ref="JO33:JO34" si="337">SUM(JP33:JQ33)</f>
        <v>3362567.5700000003</v>
      </c>
      <c r="JP33" s="770">
        <v>874267.58</v>
      </c>
      <c r="JQ33" s="794">
        <v>2488299.9900000002</v>
      </c>
      <c r="JR33" s="1234">
        <f t="shared" ref="JR33:JR34" si="338">SUM(JS33:JT33)</f>
        <v>0</v>
      </c>
      <c r="JS33" s="766">
        <f>[1]Субсидия_факт!EX30</f>
        <v>0</v>
      </c>
      <c r="JT33" s="767">
        <f>[1]Субсидия_факт!FD30</f>
        <v>0</v>
      </c>
      <c r="JU33" s="957">
        <f t="shared" ref="JU33:JU34" si="339">SUM(JV33:JW33)</f>
        <v>0</v>
      </c>
      <c r="JV33" s="766"/>
      <c r="JW33" s="767"/>
      <c r="JX33" s="957"/>
      <c r="JY33" s="766"/>
      <c r="JZ33" s="767"/>
      <c r="KA33" s="957"/>
      <c r="KB33" s="770"/>
      <c r="KC33" s="794"/>
      <c r="KD33" s="783"/>
      <c r="KE33" s="789"/>
      <c r="KF33" s="767"/>
      <c r="KG33" s="1252"/>
      <c r="KH33" s="770"/>
      <c r="KI33" s="798"/>
      <c r="KJ33" s="783"/>
      <c r="KK33" s="766"/>
      <c r="KL33" s="793"/>
      <c r="KM33" s="783"/>
      <c r="KN33" s="766"/>
      <c r="KO33" s="767"/>
      <c r="KP33" s="1238">
        <f t="shared" ref="KP33:KP34" si="340">SUM(KQ33:KT33)</f>
        <v>3023463.13</v>
      </c>
      <c r="KQ33" s="770">
        <f>[1]Субсидия_факт!OD30</f>
        <v>2142010</v>
      </c>
      <c r="KR33" s="767">
        <f>[1]Субсидия_факт!OJ30</f>
        <v>826233.13</v>
      </c>
      <c r="KS33" s="770">
        <f>[1]Субсидия_факт!OR30</f>
        <v>20075.099999999999</v>
      </c>
      <c r="KT33" s="767">
        <f>[1]Субсидия_факт!OT30</f>
        <v>35144.9</v>
      </c>
      <c r="KU33" s="1238">
        <f t="shared" ref="KU33:KU34" si="341">SUM(KV33:KY33)</f>
        <v>0</v>
      </c>
      <c r="KV33" s="770"/>
      <c r="KW33" s="767"/>
      <c r="KX33" s="770"/>
      <c r="KY33" s="767"/>
      <c r="KZ33" s="1238"/>
      <c r="LA33" s="789"/>
      <c r="LB33" s="767"/>
      <c r="LC33" s="789"/>
      <c r="LD33" s="767"/>
      <c r="LE33" s="1238"/>
      <c r="LF33" s="770"/>
      <c r="LG33" s="767"/>
      <c r="LH33" s="770"/>
      <c r="LI33" s="767"/>
      <c r="LJ33" s="1248"/>
      <c r="LK33" s="789"/>
      <c r="LL33" s="767"/>
      <c r="LM33" s="1248"/>
      <c r="LN33" s="789"/>
      <c r="LO33" s="767"/>
      <c r="LP33" s="1248"/>
      <c r="LQ33" s="766"/>
      <c r="LR33" s="793"/>
      <c r="LS33" s="1248"/>
      <c r="LT33" s="789"/>
      <c r="LU33" s="767"/>
      <c r="LV33" s="957">
        <f t="shared" ref="LV33:LV34" si="342">SUM(LW33:LY33)</f>
        <v>0</v>
      </c>
      <c r="LW33" s="770">
        <f>[1]Субсидия_факт!DP30</f>
        <v>0</v>
      </c>
      <c r="LX33" s="770">
        <f>[1]Субсидия_факт!CB30</f>
        <v>0</v>
      </c>
      <c r="LY33" s="767">
        <f>[1]Субсидия_факт!CH30</f>
        <v>0</v>
      </c>
      <c r="LZ33" s="957">
        <f t="shared" ref="LZ33:LZ34" si="343">SUM(MA33:MC33)</f>
        <v>0</v>
      </c>
      <c r="MA33" s="770"/>
      <c r="MB33" s="770"/>
      <c r="MC33" s="767"/>
      <c r="MD33" s="957"/>
      <c r="ME33" s="770"/>
      <c r="MF33" s="770"/>
      <c r="MG33" s="767"/>
      <c r="MH33" s="957"/>
      <c r="MI33" s="770"/>
      <c r="MJ33" s="770"/>
      <c r="MK33" s="767"/>
      <c r="ML33" s="783">
        <f t="shared" ref="ML33:ML34" si="344">SUM(MM33:MO33)</f>
        <v>0</v>
      </c>
      <c r="MM33" s="770"/>
      <c r="MN33" s="770"/>
      <c r="MO33" s="767"/>
      <c r="MP33" s="783">
        <f t="shared" ref="MP33:MP34" si="345">SUM(MQ33:MS33)</f>
        <v>0</v>
      </c>
      <c r="MQ33" s="770"/>
      <c r="MR33" s="770"/>
      <c r="MS33" s="794"/>
      <c r="MT33" s="783">
        <f t="shared" ref="MT33:MT34" si="346">SUM(MU33:MW33)</f>
        <v>0</v>
      </c>
      <c r="MU33" s="770"/>
      <c r="MV33" s="770"/>
      <c r="MW33" s="767"/>
      <c r="MX33" s="783">
        <f t="shared" ref="MX33:MX34" si="347">SUM(MY33:NA33)</f>
        <v>0</v>
      </c>
      <c r="MY33" s="770"/>
      <c r="MZ33" s="770"/>
      <c r="NA33" s="767"/>
      <c r="NB33" s="957">
        <f t="shared" ref="NB33:NB34" si="348">SUM(NC33:NI33)</f>
        <v>445147.95</v>
      </c>
      <c r="NC33" s="770">
        <f>[1]Субсидия_факт!CN30</f>
        <v>0</v>
      </c>
      <c r="ND33" s="793">
        <f>[1]Субсидия_факт!CP30</f>
        <v>0</v>
      </c>
      <c r="NE33" s="766">
        <f>[1]Субсидия_факт!CR30</f>
        <v>0</v>
      </c>
      <c r="NF33" s="767">
        <f>[1]Субсидия_факт!CT30</f>
        <v>0</v>
      </c>
      <c r="NG33" s="789">
        <f>[1]Субсидия_факт!DV30</f>
        <v>0</v>
      </c>
      <c r="NH33" s="766">
        <f>[1]Субсидия_факт!FJ30</f>
        <v>115738.46000000002</v>
      </c>
      <c r="NI33" s="767">
        <f>[1]Субсидия_факт!FP30</f>
        <v>329409.49</v>
      </c>
      <c r="NJ33" s="957">
        <f t="shared" ref="NJ33:NJ34" si="349">SUM(NK33:NQ33)</f>
        <v>0</v>
      </c>
      <c r="NK33" s="770"/>
      <c r="NL33" s="767"/>
      <c r="NM33" s="770"/>
      <c r="NN33" s="794"/>
      <c r="NO33" s="770"/>
      <c r="NP33" s="770"/>
      <c r="NQ33" s="767"/>
      <c r="NR33" s="957">
        <f t="shared" ref="NR33:NR34" si="350">SUM(NS33:NT33)</f>
        <v>0</v>
      </c>
      <c r="NS33" s="766"/>
      <c r="NT33" s="793"/>
      <c r="NU33" s="957">
        <f t="shared" ref="NU33:NU34" si="351">SUM(NV33:NW33)</f>
        <v>0</v>
      </c>
      <c r="NV33" s="789"/>
      <c r="NW33" s="767"/>
      <c r="NX33" s="783">
        <f t="shared" ref="NX33:NX34" si="352">SUM(NY33:NZ33)</f>
        <v>0</v>
      </c>
      <c r="NY33" s="766"/>
      <c r="NZ33" s="767"/>
      <c r="OA33" s="783">
        <f t="shared" ref="OA33:OA34" si="353">SUM(OB33:OC33)</f>
        <v>0</v>
      </c>
      <c r="OB33" s="770"/>
      <c r="OC33" s="798"/>
      <c r="OD33" s="783">
        <f t="shared" ref="OD33:OD34" si="354">SUM(OE33:OF33)</f>
        <v>0</v>
      </c>
      <c r="OE33" s="766"/>
      <c r="OF33" s="793"/>
      <c r="OG33" s="783">
        <f t="shared" ref="OG33:OG34" si="355">SUM(OH33:OI33)</f>
        <v>0</v>
      </c>
      <c r="OH33" s="770"/>
      <c r="OI33" s="767"/>
      <c r="OJ33" s="1234">
        <f t="shared" ref="OJ33:OJ34" si="356">SUM(OK33:OM33)</f>
        <v>0</v>
      </c>
      <c r="OK33" s="766">
        <f>[1]Субсидия_факт!AR30</f>
        <v>0</v>
      </c>
      <c r="OL33" s="793">
        <f>[1]Субсидия_факт!AT30</f>
        <v>0</v>
      </c>
      <c r="OM33" s="770">
        <f>[1]Субсидия_факт!AV30</f>
        <v>0</v>
      </c>
      <c r="ON33" s="957">
        <f t="shared" ref="ON33:ON34" si="357">SUM(OO33:OQ33)</f>
        <v>0</v>
      </c>
      <c r="OO33" s="770"/>
      <c r="OP33" s="767"/>
      <c r="OQ33" s="770"/>
      <c r="OR33" s="1238">
        <f t="shared" ref="OR33:OR34" si="358">SUM(OS33:OU33)</f>
        <v>50526316.18</v>
      </c>
      <c r="OS33" s="763">
        <f>[1]Субсидия_факт!GD30</f>
        <v>1526316.1799999997</v>
      </c>
      <c r="OT33" s="762">
        <f>[1]Субсидия_факт!GJ30</f>
        <v>29000000</v>
      </c>
      <c r="OU33" s="770">
        <f>[1]Субсидия_факт!GP30</f>
        <v>20000000</v>
      </c>
      <c r="OV33" s="1238">
        <f t="shared" ref="OV33:OV34" si="359">SUM(OW33:OY33)</f>
        <v>8187357.2999999998</v>
      </c>
      <c r="OW33" s="789">
        <v>309323.53999999998</v>
      </c>
      <c r="OX33" s="767">
        <v>5877145.7999999998</v>
      </c>
      <c r="OY33" s="770">
        <v>2000887.96</v>
      </c>
      <c r="OZ33" s="1238"/>
      <c r="PA33" s="766"/>
      <c r="PB33" s="793"/>
      <c r="PC33" s="770"/>
      <c r="PD33" s="1238"/>
      <c r="PE33" s="770"/>
      <c r="PF33" s="798"/>
      <c r="PG33" s="770"/>
      <c r="PH33" s="1248"/>
      <c r="PI33" s="789"/>
      <c r="PJ33" s="767"/>
      <c r="PK33" s="770"/>
      <c r="PL33" s="1248"/>
      <c r="PM33" s="789"/>
      <c r="PN33" s="767"/>
      <c r="PO33" s="770"/>
      <c r="PP33" s="1248"/>
      <c r="PQ33" s="766"/>
      <c r="PR33" s="793"/>
      <c r="PS33" s="766"/>
      <c r="PT33" s="1248"/>
      <c r="PU33" s="789"/>
      <c r="PV33" s="767"/>
      <c r="PW33" s="766"/>
      <c r="PX33" s="957"/>
      <c r="PY33" s="789"/>
      <c r="PZ33" s="767"/>
      <c r="QA33" s="789"/>
      <c r="QB33" s="767"/>
      <c r="QC33" s="957"/>
      <c r="QD33" s="770"/>
      <c r="QE33" s="794"/>
      <c r="QF33" s="770"/>
      <c r="QG33" s="794"/>
      <c r="QH33" s="957"/>
      <c r="QI33" s="789"/>
      <c r="QJ33" s="767"/>
      <c r="QK33" s="957"/>
      <c r="QL33" s="770"/>
      <c r="QM33" s="794"/>
      <c r="QN33" s="783"/>
      <c r="QO33" s="770"/>
      <c r="QP33" s="767"/>
      <c r="QQ33" s="783"/>
      <c r="QR33" s="770"/>
      <c r="QS33" s="767"/>
      <c r="QT33" s="783"/>
      <c r="QU33" s="766"/>
      <c r="QV33" s="767"/>
      <c r="QW33" s="783"/>
      <c r="QX33" s="770"/>
      <c r="QY33" s="794"/>
      <c r="QZ33" s="801">
        <f t="shared" ref="QZ33:QZ34" si="360">SUM(RA33:RB33)</f>
        <v>0</v>
      </c>
      <c r="RA33" s="766">
        <f>[1]Субсидия_факт!CV30</f>
        <v>0</v>
      </c>
      <c r="RB33" s="767">
        <f>[1]Субсидия_факт!CX30</f>
        <v>0</v>
      </c>
      <c r="RC33" s="957">
        <f t="shared" ref="RC33:RC34" si="361">SUM(RD33:RE33)</f>
        <v>0</v>
      </c>
      <c r="RD33" s="770"/>
      <c r="RE33" s="794"/>
      <c r="RF33" s="801">
        <f t="shared" ref="RF33:RF34" si="362">SUM(RG33:RH33)</f>
        <v>0</v>
      </c>
      <c r="RG33" s="766">
        <f>[1]Субсидия_факт!CZ30</f>
        <v>0</v>
      </c>
      <c r="RH33" s="767">
        <f>[1]Субсидия_факт!DF30</f>
        <v>0</v>
      </c>
      <c r="RI33" s="957">
        <f t="shared" ref="RI33:RI34" si="363">SUM(RJ33:RK33)</f>
        <v>0</v>
      </c>
      <c r="RJ33" s="770"/>
      <c r="RK33" s="794"/>
      <c r="RL33" s="801">
        <f t="shared" ref="RL33:RL34" si="364">SUM(RM33:RN33)</f>
        <v>0</v>
      </c>
      <c r="RM33" s="766"/>
      <c r="RN33" s="767"/>
      <c r="RO33" s="957">
        <f t="shared" ref="RO33:RO34" si="365">SUM(RP33:RQ33)</f>
        <v>0</v>
      </c>
      <c r="RP33" s="770"/>
      <c r="RQ33" s="794"/>
      <c r="RR33" s="1235">
        <f t="shared" ref="RR33:RR34" si="366">SUM(RS33:RT33)</f>
        <v>0</v>
      </c>
      <c r="RS33" s="766"/>
      <c r="RT33" s="767"/>
      <c r="RU33" s="783">
        <f t="shared" ref="RU33:RU34" si="367">SUM(RV33:RW33)</f>
        <v>0</v>
      </c>
      <c r="RV33" s="770"/>
      <c r="RW33" s="794"/>
      <c r="RX33" s="1235">
        <f t="shared" ref="RX33:RX34" si="368">SUM(RY33:RZ33)</f>
        <v>0</v>
      </c>
      <c r="RY33" s="766"/>
      <c r="RZ33" s="767"/>
      <c r="SA33" s="783">
        <f t="shared" ref="SA33:SA34" si="369">SUM(SB33:SC33)</f>
        <v>0</v>
      </c>
      <c r="SB33" s="770"/>
      <c r="SC33" s="794"/>
      <c r="SD33" s="801">
        <f t="shared" ref="SD33:SD34" si="370">SUM(SE33:SF33)</f>
        <v>0</v>
      </c>
      <c r="SE33" s="766">
        <f>[1]Субсидия_факт!DL30</f>
        <v>0</v>
      </c>
      <c r="SF33" s="767">
        <f>[1]Субсидия_факт!DN30</f>
        <v>0</v>
      </c>
      <c r="SG33" s="957">
        <f t="shared" ref="SG33:SG34" si="371">SUM(SH33:SI33)</f>
        <v>0</v>
      </c>
      <c r="SH33" s="789"/>
      <c r="SI33" s="793"/>
      <c r="SJ33" s="957">
        <f t="shared" ref="SJ33:SJ34" si="372">SUM(SK33:SM33)</f>
        <v>179370487.68000001</v>
      </c>
      <c r="SK33" s="770">
        <f>[1]Субсидия_факт!BJ30</f>
        <v>43250622.82</v>
      </c>
      <c r="SL33" s="766">
        <f>[1]Субсидия_факт!BF30</f>
        <v>35391164.860000014</v>
      </c>
      <c r="SM33" s="767">
        <f>[1]Субсидия_факт!BH30</f>
        <v>100728700</v>
      </c>
      <c r="SN33" s="957">
        <f t="shared" ref="SN33:SN34" si="373">SUM(SO33:SQ33)</f>
        <v>78542224.549999997</v>
      </c>
      <c r="SO33" s="770">
        <v>847433.71</v>
      </c>
      <c r="SP33" s="789">
        <v>20200645.620000001</v>
      </c>
      <c r="SQ33" s="793">
        <v>57494145.219999999</v>
      </c>
      <c r="SR33" s="801">
        <f t="shared" ref="SR33:SR34" si="374">SUM(SS33:ST33)</f>
        <v>0</v>
      </c>
      <c r="SS33" s="766">
        <f>[1]Субсидия_факт!AD30</f>
        <v>0</v>
      </c>
      <c r="ST33" s="767">
        <f>[1]Субсидия_факт!AF30</f>
        <v>0</v>
      </c>
      <c r="SU33" s="957">
        <f t="shared" ref="SU33:SU34" si="375">SUM(SV33:SW33)</f>
        <v>0</v>
      </c>
      <c r="SV33" s="789"/>
      <c r="SW33" s="793"/>
      <c r="SX33" s="957">
        <f t="shared" ref="SX33:SX34" si="376">SUM(SY33:TD33)</f>
        <v>0</v>
      </c>
      <c r="SY33" s="789"/>
      <c r="SZ33" s="767"/>
      <c r="TA33" s="789">
        <f>[1]Субсидия_факт!IP30</f>
        <v>0</v>
      </c>
      <c r="TB33" s="767">
        <f>[1]Субсидия_факт!IV30</f>
        <v>0</v>
      </c>
      <c r="TC33" s="1298">
        <f>[1]Субсидия_факт!JZ30</f>
        <v>0</v>
      </c>
      <c r="TD33" s="767">
        <f>[1]Субсидия_факт!KF30</f>
        <v>0</v>
      </c>
      <c r="TE33" s="957">
        <f t="shared" ref="TE33:TE34" si="377">SUM(TF33:TK33)</f>
        <v>0</v>
      </c>
      <c r="TF33" s="1028"/>
      <c r="TG33" s="794"/>
      <c r="TH33" s="1028"/>
      <c r="TI33" s="794"/>
      <c r="TJ33" s="1028"/>
      <c r="TK33" s="793"/>
      <c r="TL33" s="957"/>
      <c r="TM33" s="789"/>
      <c r="TN33" s="767"/>
      <c r="TO33" s="1028"/>
      <c r="TP33" s="794"/>
      <c r="TQ33" s="789"/>
      <c r="TR33" s="767"/>
      <c r="TS33" s="957"/>
      <c r="TT33" s="770"/>
      <c r="TU33" s="794"/>
      <c r="TV33" s="1028"/>
      <c r="TW33" s="794"/>
      <c r="TX33" s="770"/>
      <c r="TY33" s="794"/>
      <c r="TZ33" s="783"/>
      <c r="UA33" s="766"/>
      <c r="UB33" s="767"/>
      <c r="UC33" s="766"/>
      <c r="UD33" s="767"/>
      <c r="UE33" s="789"/>
      <c r="UF33" s="767"/>
      <c r="UG33" s="783"/>
      <c r="UH33" s="766"/>
      <c r="UI33" s="767"/>
      <c r="UJ33" s="766"/>
      <c r="UK33" s="767"/>
      <c r="UL33" s="789"/>
      <c r="UM33" s="767"/>
      <c r="UN33" s="783"/>
      <c r="UO33" s="766"/>
      <c r="UP33" s="767"/>
      <c r="UQ33" s="1028"/>
      <c r="UR33" s="794"/>
      <c r="US33" s="789"/>
      <c r="UT33" s="767"/>
      <c r="UU33" s="783"/>
      <c r="UV33" s="1028"/>
      <c r="UW33" s="794"/>
      <c r="UX33" s="1028"/>
      <c r="UY33" s="794"/>
      <c r="UZ33" s="1028"/>
      <c r="VA33" s="794"/>
      <c r="VB33" s="957">
        <f>'Прочая  субсидия_МР  и  ГО'!B28</f>
        <v>93476545.650000006</v>
      </c>
      <c r="VC33" s="957">
        <f>'Прочая  субсидия_МР  и  ГО'!C28</f>
        <v>32848529.170000002</v>
      </c>
      <c r="VD33" s="957"/>
      <c r="VE33" s="957"/>
      <c r="VF33" s="1299"/>
      <c r="VG33" s="958"/>
      <c r="VH33" s="1299"/>
      <c r="VI33" s="958"/>
      <c r="VJ33" s="957">
        <f t="shared" ref="VJ33:VJ34" si="378">SUM(VK33:VL33)</f>
        <v>1234917064.8099999</v>
      </c>
      <c r="VK33" s="770">
        <f>'Проверочная  таблица'!WM33+'Проверочная  таблица'!VP33+'Проверочная  таблица'!VR33+WG33</f>
        <v>1194001626.0999999</v>
      </c>
      <c r="VL33" s="770">
        <f>'Проверочная  таблица'!WN33+'Проверочная  таблица'!VV33+'Проверочная  таблица'!WB33+'Проверочная  таблица'!VX33+'Проверочная  таблица'!VZ33+WD33+WH33</f>
        <v>40915438.710000001</v>
      </c>
      <c r="VM33" s="957">
        <f t="shared" ref="VM33:VM34" si="379">SUM(VN33:VO33)</f>
        <v>662322344.74000001</v>
      </c>
      <c r="VN33" s="770">
        <f>'Проверочная  таблица'!WP33+'Проверочная  таблица'!VQ33+'Проверочная  таблица'!VS33+WJ33</f>
        <v>640150368.74000001</v>
      </c>
      <c r="VO33" s="1300">
        <f>'Проверочная  таблица'!WQ33+'Проверочная  таблица'!VW33+'Проверочная  таблица'!WC33+'Проверочная  таблица'!VY33+'Проверочная  таблица'!WA33+WE33+WK33</f>
        <v>22171976</v>
      </c>
      <c r="VP33" s="957">
        <f>'Субвенция  на  полномочия'!B27</f>
        <v>1141663741.9499998</v>
      </c>
      <c r="VQ33" s="957">
        <f>'Субвенция  на  полномочия'!C27</f>
        <v>613708276.47000003</v>
      </c>
      <c r="VR33" s="790">
        <f>[1]Субвенция_факт!M29*1000</f>
        <v>36070025</v>
      </c>
      <c r="VS33" s="796">
        <v>17500000</v>
      </c>
      <c r="VT33" s="790"/>
      <c r="VU33" s="796"/>
      <c r="VV33" s="790"/>
      <c r="VW33" s="796"/>
      <c r="VX33" s="1256">
        <f>[1]Субвенция_факт!AG29*1000</f>
        <v>0</v>
      </c>
      <c r="VY33" s="797"/>
      <c r="VZ33" s="792">
        <f>[1]Субвенция_факт!E29*1000</f>
        <v>0</v>
      </c>
      <c r="WA33" s="797"/>
      <c r="WB33" s="792">
        <f>[1]Субвенция_факт!F29*1000</f>
        <v>0</v>
      </c>
      <c r="WC33" s="797"/>
      <c r="WD33" s="791">
        <f>[1]Субвенция_факт!G29*1000</f>
        <v>3069840</v>
      </c>
      <c r="WE33" s="796">
        <v>1567098</v>
      </c>
      <c r="WF33" s="957">
        <f t="shared" ref="WF33:WF34" si="380">SUM(WG33:WH33)</f>
        <v>49635944.200000003</v>
      </c>
      <c r="WG33" s="766">
        <f>[1]Субвенция_факт!P29*1000</f>
        <v>12905345.490000002</v>
      </c>
      <c r="WH33" s="767">
        <f>[1]Субвенция_факт!Q29*1000</f>
        <v>36730598.710000001</v>
      </c>
      <c r="WI33" s="957">
        <f t="shared" ref="WI33:WI34" si="381">SUM(WJ33:WK33)</f>
        <v>26984970.27</v>
      </c>
      <c r="WJ33" s="770">
        <v>7016092.2699999996</v>
      </c>
      <c r="WK33" s="798">
        <v>19968878</v>
      </c>
      <c r="WL33" s="957">
        <f t="shared" ref="WL33:WL34" si="382">SUM(WM33:WN33)</f>
        <v>4477513.66</v>
      </c>
      <c r="WM33" s="799">
        <f>[1]Субвенция_факт!X29*1000</f>
        <v>3362513.66</v>
      </c>
      <c r="WN33" s="800">
        <f>[1]Субвенция_факт!W29*1000</f>
        <v>1115000</v>
      </c>
      <c r="WO33" s="957">
        <f t="shared" ref="WO33:WO34" si="383">SUM(WP33:WQ33)</f>
        <v>2562000</v>
      </c>
      <c r="WP33" s="770">
        <v>1926000</v>
      </c>
      <c r="WQ33" s="798">
        <v>636000</v>
      </c>
      <c r="WR33" s="957">
        <f t="shared" ref="WR33:WR34" si="384">WT33+WZ33+XF33+XL33+XP33+XX33+YT33</f>
        <v>532697814.08000004</v>
      </c>
      <c r="WS33" s="957">
        <f t="shared" ref="WS33:WS34" si="385">WW33+XC33+XI33+XN33+XR33+YI33+YZ33</f>
        <v>169865431.91000003</v>
      </c>
      <c r="WT33" s="957">
        <f t="shared" ref="WT33:WT34" si="386">SUM(WU33:WV33)</f>
        <v>96014740</v>
      </c>
      <c r="WU33" s="799">
        <f>'[1]Иные межбюджетные трансферты'!AM30</f>
        <v>4800739.34</v>
      </c>
      <c r="WV33" s="800">
        <f>'[1]Иные межбюджетные трансферты'!AO30</f>
        <v>91214000.659999996</v>
      </c>
      <c r="WW33" s="957">
        <f>SUM(WX33:WY33)</f>
        <v>877099.58</v>
      </c>
      <c r="WX33" s="799">
        <v>43855.01</v>
      </c>
      <c r="WY33" s="800">
        <v>833244.57</v>
      </c>
      <c r="WZ33" s="957">
        <f t="shared" ref="WZ33:WZ34" si="387">SUM(XA33:XB33)</f>
        <v>3235429.67</v>
      </c>
      <c r="XA33" s="799">
        <f>'[1]Иные межбюджетные трансферты'!AI30</f>
        <v>161771.49</v>
      </c>
      <c r="XB33" s="800">
        <f>'[1]Иные межбюджетные трансферты'!AK30</f>
        <v>3073658.1799999997</v>
      </c>
      <c r="XC33" s="957">
        <f>SUM(XD33:XE33)</f>
        <v>1887333.5899999999</v>
      </c>
      <c r="XD33" s="799">
        <v>94366.69</v>
      </c>
      <c r="XE33" s="800">
        <v>1792966.9</v>
      </c>
      <c r="XF33" s="957">
        <f t="shared" ref="XF33:XF34" si="388">SUM(XG33:XH33)</f>
        <v>32352960</v>
      </c>
      <c r="XG33" s="799">
        <f>'[1]Иные межбюджетные трансферты'!I30</f>
        <v>0</v>
      </c>
      <c r="XH33" s="800">
        <f>'[1]Иные межбюджетные трансферты'!K30</f>
        <v>32352960</v>
      </c>
      <c r="XI33" s="957">
        <f>SUM(XJ33:XK33)</f>
        <v>32352960</v>
      </c>
      <c r="XJ33" s="799"/>
      <c r="XK33" s="800">
        <v>32352960</v>
      </c>
      <c r="XL33" s="1253">
        <f>SUM(XM33:XM33)</f>
        <v>0</v>
      </c>
      <c r="XM33" s="789">
        <f>'[1]Иные межбюджетные трансферты'!M30</f>
        <v>0</v>
      </c>
      <c r="XN33" s="957">
        <f>SUM(XO33:XO33)</f>
        <v>0</v>
      </c>
      <c r="XO33" s="795"/>
      <c r="XP33" s="957">
        <f>SUM(XQ33:XQ33)</f>
        <v>0</v>
      </c>
      <c r="XQ33" s="795"/>
      <c r="XR33" s="957">
        <f>SUM(XS33:XS33)</f>
        <v>0</v>
      </c>
      <c r="XS33" s="795"/>
      <c r="XT33" s="783"/>
      <c r="XU33" s="783"/>
      <c r="XV33" s="783"/>
      <c r="XW33" s="783"/>
      <c r="XX33" s="957">
        <f t="shared" ref="XX33:XX34" si="389">SUM(XY33:YH33)</f>
        <v>401094684.41000003</v>
      </c>
      <c r="XY33" s="799">
        <f>'[1]Иные межбюджетные трансферты'!E30</f>
        <v>335640263.04000002</v>
      </c>
      <c r="XZ33" s="786">
        <f>'[1]Иные межбюджетные трансферты'!G30</f>
        <v>29584308</v>
      </c>
      <c r="YA33" s="786">
        <f>'[1]Иные межбюджетные трансферты'!Q30</f>
        <v>0</v>
      </c>
      <c r="YB33" s="787">
        <f>'[1]Иные межбюджетные трансферты'!W30</f>
        <v>0</v>
      </c>
      <c r="YC33" s="786">
        <f>'[1]Иные межбюджетные трансферты'!Y30</f>
        <v>0</v>
      </c>
      <c r="YD33" s="786">
        <f>'[1]Иные межбюджетные трансферты'!AE30</f>
        <v>28808010</v>
      </c>
      <c r="YE33" s="786">
        <f>'[1]Иные межбюджетные трансферты'!AQ30</f>
        <v>0</v>
      </c>
      <c r="YF33" s="766">
        <f>'[1]Иные межбюджетные трансферты'!AW30</f>
        <v>0</v>
      </c>
      <c r="YG33" s="786">
        <f>'[1]Иные межбюджетные трансферты'!AY30</f>
        <v>0</v>
      </c>
      <c r="YH33" s="1116">
        <f>'[1]Иные межбюджетные трансферты'!BA30</f>
        <v>7062103.370000001</v>
      </c>
      <c r="YI33" s="957">
        <f t="shared" ref="YI33:YI34" si="390">SUM(YJ33:YS33)</f>
        <v>134748038.74000001</v>
      </c>
      <c r="YJ33" s="786">
        <v>132231129.48</v>
      </c>
      <c r="YK33" s="786"/>
      <c r="YL33" s="763"/>
      <c r="YM33" s="786"/>
      <c r="YN33" s="786"/>
      <c r="YO33" s="786"/>
      <c r="YP33" s="786"/>
      <c r="YQ33" s="786"/>
      <c r="YR33" s="786"/>
      <c r="YS33" s="786">
        <v>2516909.2599999998</v>
      </c>
      <c r="YT33" s="957">
        <f>SUM(YU33:YY33)</f>
        <v>0</v>
      </c>
      <c r="YU33" s="786"/>
      <c r="YV33" s="786"/>
      <c r="YW33" s="786"/>
      <c r="YX33" s="786"/>
      <c r="YY33" s="755"/>
      <c r="YZ33" s="957">
        <f>SUM(ZA33:ZE33)</f>
        <v>0</v>
      </c>
      <c r="ZA33" s="754"/>
      <c r="ZB33" s="754"/>
      <c r="ZC33" s="754"/>
      <c r="ZD33" s="786"/>
      <c r="ZE33" s="755"/>
      <c r="ZF33" s="783">
        <f>SUM(ZG33:ZK33)</f>
        <v>0</v>
      </c>
      <c r="ZG33" s="763">
        <f>'Проверочная  таблица'!YU33-ZS33</f>
        <v>0</v>
      </c>
      <c r="ZH33" s="763">
        <f>'Проверочная  таблица'!YV33-ZT33</f>
        <v>0</v>
      </c>
      <c r="ZI33" s="763">
        <f>'Проверочная  таблица'!YW33-ZU33</f>
        <v>0</v>
      </c>
      <c r="ZJ33" s="763">
        <f>'Проверочная  таблица'!YX33-ZV33</f>
        <v>0</v>
      </c>
      <c r="ZK33" s="763">
        <f>'Проверочная  таблица'!YY33-ZW33</f>
        <v>0</v>
      </c>
      <c r="ZL33" s="783">
        <f>SUM(ZM33:ZQ33)</f>
        <v>0</v>
      </c>
      <c r="ZM33" s="763">
        <f>'Проверочная  таблица'!ZA33-ZY33</f>
        <v>0</v>
      </c>
      <c r="ZN33" s="763">
        <f>'Проверочная  таблица'!ZB33-ZZ33</f>
        <v>0</v>
      </c>
      <c r="ZO33" s="763">
        <f>'Проверочная  таблица'!ZC33-AAA33</f>
        <v>0</v>
      </c>
      <c r="ZP33" s="763">
        <f>'Проверочная  таблица'!ZD33-AAB33</f>
        <v>0</v>
      </c>
      <c r="ZQ33" s="763">
        <f>'Проверочная  таблица'!ZE33-AAC33</f>
        <v>0</v>
      </c>
      <c r="ZR33" s="783">
        <f>SUM(ZS33:ZW33)</f>
        <v>0</v>
      </c>
      <c r="ZS33" s="786"/>
      <c r="ZT33" s="786"/>
      <c r="ZU33" s="786"/>
      <c r="ZV33" s="786"/>
      <c r="ZW33" s="755"/>
      <c r="ZX33" s="783">
        <f>SUM(ZY33:AAC33)</f>
        <v>0</v>
      </c>
      <c r="ZY33" s="754"/>
      <c r="ZZ33" s="754"/>
      <c r="AAA33" s="754"/>
      <c r="AAB33" s="786"/>
      <c r="AAC33" s="755"/>
      <c r="AAD33" s="957">
        <f>AAF33+'Проверочная  таблица'!AAN33+AAJ33+'Проверочная  таблица'!AAR33+AAL33+'Проверочная  таблица'!AAT33</f>
        <v>-85900000.159999996</v>
      </c>
      <c r="AAE33" s="957">
        <f>AAG33+'Проверочная  таблица'!AAO33+AAK33+'Проверочная  таблица'!AAS33+AAM33+'Проверочная  таблица'!AAU33</f>
        <v>0</v>
      </c>
      <c r="AAF33" s="957"/>
      <c r="AAG33" s="957"/>
      <c r="AAH33" s="957"/>
      <c r="AAI33" s="957"/>
      <c r="AAJ33" s="809"/>
      <c r="AAK33" s="809"/>
      <c r="AAL33" s="809"/>
      <c r="AAM33" s="809"/>
      <c r="AAN33" s="957">
        <v>-85900000.159999996</v>
      </c>
      <c r="AAO33" s="957"/>
      <c r="AAP33" s="957"/>
      <c r="AAQ33" s="957"/>
      <c r="AAR33" s="809"/>
      <c r="AAS33" s="809"/>
      <c r="AAT33" s="809"/>
      <c r="AAU33" s="809"/>
      <c r="AAV33" s="1246">
        <f>'Проверочная  таблица'!AAN33+'Проверочная  таблица'!AAP33</f>
        <v>-85900000.159999996</v>
      </c>
      <c r="AAW33" s="1246">
        <f>'Проверочная  таблица'!AAO33+'Проверочная  таблица'!AAQ33</f>
        <v>0</v>
      </c>
    </row>
    <row r="34" spans="1:725" ht="24" customHeight="1" thickBot="1" x14ac:dyDescent="0.3">
      <c r="A34" s="909" t="s">
        <v>1320</v>
      </c>
      <c r="B34" s="801">
        <f>D34+AN34+'Проверочная  таблица'!VJ34+'Проверочная  таблица'!WR34</f>
        <v>19391531853.110001</v>
      </c>
      <c r="C34" s="957">
        <f>E34+'Проверочная  таблица'!VM34+AO34+'Проверочная  таблица'!WS34</f>
        <v>8309889365.6499996</v>
      </c>
      <c r="D34" s="1234">
        <f>F34+P34+N34+V34+AD34+H34</f>
        <v>3475440175.3000002</v>
      </c>
      <c r="E34" s="801">
        <f>G34+Q34+O34+Z34+AG34+I34</f>
        <v>1451490356</v>
      </c>
      <c r="F34" s="1238">
        <f>'[1]Дотация  из  ОБ_факт'!M29</f>
        <v>867300861.29999995</v>
      </c>
      <c r="G34" s="1247">
        <v>589740356</v>
      </c>
      <c r="H34" s="1301">
        <f>'[1]Дотация  из  ОБ_факт'!G29</f>
        <v>0</v>
      </c>
      <c r="I34" s="1247"/>
      <c r="J34" s="1248">
        <f>H34-L34</f>
        <v>0</v>
      </c>
      <c r="K34" s="1249">
        <f>I34-M34</f>
        <v>0</v>
      </c>
      <c r="L34" s="1302">
        <f>'[1]Дотация  из  ОБ_факт'!K29</f>
        <v>0</v>
      </c>
      <c r="M34" s="785"/>
      <c r="N34" s="1301">
        <f>'[1]Дотация  из  ОБ_факт'!Q29</f>
        <v>2607139314.0000005</v>
      </c>
      <c r="O34" s="1247">
        <v>861750000</v>
      </c>
      <c r="P34" s="1238">
        <f>'[1]Дотация  из  ОБ_факт'!S29</f>
        <v>0</v>
      </c>
      <c r="Q34" s="1247"/>
      <c r="R34" s="1302">
        <f>P34-T34</f>
        <v>0</v>
      </c>
      <c r="S34" s="1249">
        <f>Q34-U34</f>
        <v>0</v>
      </c>
      <c r="T34" s="1248">
        <f>'[1]Дотация  из  ОБ_факт'!W29</f>
        <v>0</v>
      </c>
      <c r="U34" s="785"/>
      <c r="V34" s="961">
        <f>SUM(W34:Y34)</f>
        <v>1000000</v>
      </c>
      <c r="W34" s="1250">
        <f>'[1]Дотация  из  ОБ_факт'!AA29</f>
        <v>0</v>
      </c>
      <c r="X34" s="1251">
        <f>'[1]Дотация  из  ОБ_факт'!AC29</f>
        <v>1000000</v>
      </c>
      <c r="Y34" s="1251">
        <f>'[1]Дотация  из  ОБ_факт'!AG29</f>
        <v>0</v>
      </c>
      <c r="Z34" s="961">
        <f>SUM(AA34:AC34)</f>
        <v>0</v>
      </c>
      <c r="AA34" s="962">
        <f t="shared" si="288"/>
        <v>0</v>
      </c>
      <c r="AB34" s="751"/>
      <c r="AC34" s="1117"/>
      <c r="AD34" s="790">
        <f>SUM(AE34:AF34)</f>
        <v>0</v>
      </c>
      <c r="AE34" s="787"/>
      <c r="AF34" s="841"/>
      <c r="AG34" s="790">
        <f>SUM(AH34:AI34)</f>
        <v>0</v>
      </c>
      <c r="AH34" s="787"/>
      <c r="AI34" s="841"/>
      <c r="AJ34" s="1248">
        <f>AD34-AL34</f>
        <v>0</v>
      </c>
      <c r="AK34" s="1249">
        <f>AG34-AM34</f>
        <v>0</v>
      </c>
      <c r="AL34" s="1248">
        <f>'[1]Дотация  из  ОБ_факт'!AE29</f>
        <v>0</v>
      </c>
      <c r="AM34" s="788"/>
      <c r="AN34" s="919">
        <f>'Проверочная  таблица'!VB34+'Проверочная  таблица'!VD34+BT34+BV34+CH34+CJ34+BH34+BL34+'Проверочная  таблица'!NB34+'Проверочная  таблица'!NR34+'Проверочная  таблица'!EB34+'Проверочная  таблица'!OJ34+DT34+'Проверочная  таблица'!JR34+'Проверочная  таблица'!JX34+'Проверочная  таблица'!OR34+'Проверочная  таблица'!OZ34+JL34+AP34+AV34+FB34+FH34+CV34+SX34+EH34+TL34+QH34+EN34+EV34+LV34+MD34+SR34+GV34+SD34+RF34+KP34+KZ34+RL34+SJ34+CP34+QZ34+HL34+GF34+HR34+HX34+FZ34+DJ34+PX34+CB34+IP34+JF34+HD34+GL34+IV34</f>
        <v>8066145519.9499998</v>
      </c>
      <c r="AO34" s="920">
        <f>'Проверочная  таблица'!VC34+'Проверочная  таблица'!VE34+BU34+BW34+CI34+CK34+BJ34+BN34+'Проверочная  таблица'!NJ34+'Проверочная  таблица'!NU34+'Проверочная  таблица'!EE34+'Проверочная  таблица'!ON34+DX34+'Проверочная  таблица'!JU34+'Проверочная  таблица'!KA34+'Проверочная  таблица'!OV34+'Проверочная  таблица'!PD34+JO34+AS34+AX34+FE34+FK34+DC34+TE34+EK34+TS34+QK34+ER34+EY34+LZ34+MH34+SU34+GZ34+SG34+RI34+KU34+LE34+RO34+SN34+CS34+RC34+HO34+GI34+HU34+IA34+GC34+DM34+QC34+CE34+IS34+JI34+HF34+GO34+IY34</f>
        <v>2653802031.7399998</v>
      </c>
      <c r="AP34" s="910">
        <f>SUM(AQ34:AR34)</f>
        <v>18900000</v>
      </c>
      <c r="AQ34" s="789">
        <f>[1]Субсидия_факт!HV31</f>
        <v>0</v>
      </c>
      <c r="AR34" s="770">
        <f>[1]Субсидия_факт!MR31</f>
        <v>18900000</v>
      </c>
      <c r="AS34" s="910">
        <f>SUM(AT34:AU34)</f>
        <v>0</v>
      </c>
      <c r="AT34" s="763"/>
      <c r="AU34" s="812"/>
      <c r="AV34" s="920"/>
      <c r="AW34" s="754"/>
      <c r="AX34" s="910"/>
      <c r="AY34" s="754"/>
      <c r="AZ34" s="782"/>
      <c r="BA34" s="763"/>
      <c r="BB34" s="782"/>
      <c r="BC34" s="755"/>
      <c r="BD34" s="1233"/>
      <c r="BE34" s="754"/>
      <c r="BF34" s="782"/>
      <c r="BG34" s="754"/>
      <c r="BH34" s="957">
        <f>SUM(BI34:BI34)</f>
        <v>17640000</v>
      </c>
      <c r="BI34" s="770">
        <f>[1]Субсидия_факт!KZ31</f>
        <v>17640000</v>
      </c>
      <c r="BJ34" s="957">
        <f>SUM(BK34:BK34)</f>
        <v>0</v>
      </c>
      <c r="BK34" s="754"/>
      <c r="BL34" s="910"/>
      <c r="BM34" s="763"/>
      <c r="BN34" s="910"/>
      <c r="BO34" s="754"/>
      <c r="BP34" s="1233"/>
      <c r="BQ34" s="782"/>
      <c r="BR34" s="1225"/>
      <c r="BS34" s="1233"/>
      <c r="BT34" s="801">
        <f>[1]Субсидия_факт!GV31</f>
        <v>0</v>
      </c>
      <c r="BU34" s="959"/>
      <c r="BV34" s="1224"/>
      <c r="BW34" s="960"/>
      <c r="BX34" s="782"/>
      <c r="BY34" s="1225"/>
      <c r="BZ34" s="782"/>
      <c r="CA34" s="750"/>
      <c r="CB34" s="920">
        <f>SUM(CC34:CD34)</f>
        <v>0</v>
      </c>
      <c r="CC34" s="766">
        <f>[1]Субсидия_факт!HL31</f>
        <v>0</v>
      </c>
      <c r="CD34" s="770">
        <f>[1]Субсидия_факт!HN31</f>
        <v>0</v>
      </c>
      <c r="CE34" s="910">
        <f>SUM(CF34:CG34)</f>
        <v>0</v>
      </c>
      <c r="CF34" s="754"/>
      <c r="CG34" s="754"/>
      <c r="CH34" s="1253">
        <f>[1]Субсидия_факт!HB31</f>
        <v>115116800</v>
      </c>
      <c r="CI34" s="961"/>
      <c r="CJ34" s="919"/>
      <c r="CK34" s="961"/>
      <c r="CL34" s="1226"/>
      <c r="CM34" s="782"/>
      <c r="CN34" s="1225"/>
      <c r="CO34" s="753"/>
      <c r="CP34" s="920">
        <f>SUM(CQ34:CR34)</f>
        <v>0</v>
      </c>
      <c r="CQ34" s="770">
        <f>[1]Субсидия_факт!HP31</f>
        <v>0</v>
      </c>
      <c r="CR34" s="770">
        <f>[1]Субсидия_факт!HR31</f>
        <v>0</v>
      </c>
      <c r="CS34" s="910">
        <f>SUM(CT34:CU34)</f>
        <v>0</v>
      </c>
      <c r="CT34" s="754"/>
      <c r="CU34" s="763"/>
      <c r="CV34" s="910">
        <f>SUM(CW34:DB34)</f>
        <v>860245068.48000002</v>
      </c>
      <c r="CW34" s="763">
        <f>[1]Субсидия_факт!LR31</f>
        <v>1145900</v>
      </c>
      <c r="CX34" s="762">
        <f>[1]Субсидия_факт!LT31</f>
        <v>21770300</v>
      </c>
      <c r="CY34" s="754">
        <f>[1]Субсидия_факт!LV31</f>
        <v>37815349</v>
      </c>
      <c r="CZ34" s="762">
        <f>[1]Субсидия_факт!MB31</f>
        <v>720202200</v>
      </c>
      <c r="DA34" s="754">
        <f>[1]Субсидия_факт!MH31</f>
        <v>3965576.2799999993</v>
      </c>
      <c r="DB34" s="762">
        <f>[1]Субсидия_факт!MJ31</f>
        <v>75345743.200000003</v>
      </c>
      <c r="DC34" s="910">
        <f>SUM(DD34:DI34)</f>
        <v>214939211.68000001</v>
      </c>
      <c r="DD34" s="755"/>
      <c r="DE34" s="762"/>
      <c r="DF34" s="754">
        <v>7336291.7400000002</v>
      </c>
      <c r="DG34" s="762">
        <v>139394028.31</v>
      </c>
      <c r="DH34" s="754">
        <v>3410449.79</v>
      </c>
      <c r="DI34" s="762">
        <v>64798441.840000004</v>
      </c>
      <c r="DJ34" s="920"/>
      <c r="DK34" s="763"/>
      <c r="DL34" s="762"/>
      <c r="DM34" s="910"/>
      <c r="DN34" s="763"/>
      <c r="DO34" s="764"/>
      <c r="DP34" s="1226"/>
      <c r="DQ34" s="782"/>
      <c r="DR34" s="1225"/>
      <c r="DS34" s="753"/>
      <c r="DT34" s="957">
        <f t="shared" si="289"/>
        <v>5400000</v>
      </c>
      <c r="DU34" s="766">
        <f>[1]Субсидия_факт!R31</f>
        <v>2700000</v>
      </c>
      <c r="DV34" s="766">
        <f>[1]Субсидия_факт!T31</f>
        <v>2700000</v>
      </c>
      <c r="DW34" s="770">
        <f>[1]Субсидия_факт!V31</f>
        <v>0</v>
      </c>
      <c r="DX34" s="957">
        <f t="shared" si="290"/>
        <v>1800000</v>
      </c>
      <c r="DY34" s="754">
        <v>450000</v>
      </c>
      <c r="DZ34" s="754">
        <v>1350000</v>
      </c>
      <c r="EA34" s="754"/>
      <c r="EB34" s="920">
        <f t="shared" si="291"/>
        <v>0</v>
      </c>
      <c r="EC34" s="766">
        <f>[1]Субсидия_факт!AX31</f>
        <v>0</v>
      </c>
      <c r="ED34" s="767">
        <f>[1]Субсидия_факт!AZ31</f>
        <v>0</v>
      </c>
      <c r="EE34" s="910">
        <f t="shared" si="292"/>
        <v>0</v>
      </c>
      <c r="EF34" s="755"/>
      <c r="EG34" s="762"/>
      <c r="EH34" s="957">
        <f>SUM(EI34:EJ34)</f>
        <v>0</v>
      </c>
      <c r="EI34" s="766">
        <f>[1]Субсидия_факт!X31</f>
        <v>0</v>
      </c>
      <c r="EJ34" s="767">
        <f>[1]Субсидия_факт!Z31</f>
        <v>0</v>
      </c>
      <c r="EK34" s="957">
        <f>SUM(EL34:EM34)</f>
        <v>0</v>
      </c>
      <c r="EL34" s="763"/>
      <c r="EM34" s="764"/>
      <c r="EN34" s="920">
        <f t="shared" si="293"/>
        <v>1207687968.96</v>
      </c>
      <c r="EO34" s="763">
        <f>[1]Субсидия_факт!AP31</f>
        <v>319132705.80000001</v>
      </c>
      <c r="EP34" s="763">
        <f>[1]Субсидия_факт!AL31</f>
        <v>44427763.159999996</v>
      </c>
      <c r="EQ34" s="764">
        <f>[1]Субсидия_факт!AN31</f>
        <v>844127500</v>
      </c>
      <c r="ER34" s="920">
        <f t="shared" si="294"/>
        <v>422982866.41999996</v>
      </c>
      <c r="ES34" s="763">
        <v>121024.36</v>
      </c>
      <c r="ET34" s="763">
        <v>21143092.100000001</v>
      </c>
      <c r="EU34" s="764">
        <v>401718749.95999998</v>
      </c>
      <c r="EV34" s="920">
        <f t="shared" si="295"/>
        <v>121175580</v>
      </c>
      <c r="EW34" s="763">
        <f>[1]Субсидия_факт!HH31</f>
        <v>6058780</v>
      </c>
      <c r="EX34" s="762">
        <f>[1]Субсидия_факт!HJ31</f>
        <v>115116800</v>
      </c>
      <c r="EY34" s="910">
        <f t="shared" si="296"/>
        <v>109618863.97</v>
      </c>
      <c r="EZ34" s="763">
        <v>5480944.0999999996</v>
      </c>
      <c r="FA34" s="762">
        <v>104137919.87</v>
      </c>
      <c r="FB34" s="920">
        <f t="shared" si="297"/>
        <v>19378391.170000002</v>
      </c>
      <c r="FC34" s="766">
        <f>[1]Субсидия_факт!PK31</f>
        <v>5058011.3800000027</v>
      </c>
      <c r="FD34" s="767">
        <f>[1]Субсидия_факт!PQ31</f>
        <v>14320379.789999999</v>
      </c>
      <c r="FE34" s="910">
        <f>SUM(FF34:FG34)</f>
        <v>0</v>
      </c>
      <c r="FF34" s="763"/>
      <c r="FG34" s="764"/>
      <c r="FH34" s="920"/>
      <c r="FI34" s="763"/>
      <c r="FJ34" s="762"/>
      <c r="FK34" s="910"/>
      <c r="FL34" s="763"/>
      <c r="FM34" s="764"/>
      <c r="FN34" s="1233">
        <f t="shared" si="298"/>
        <v>0</v>
      </c>
      <c r="FO34" s="763">
        <f t="shared" si="299"/>
        <v>0</v>
      </c>
      <c r="FP34" s="762">
        <f t="shared" si="299"/>
        <v>0</v>
      </c>
      <c r="FQ34" s="782">
        <f t="shared" si="300"/>
        <v>0</v>
      </c>
      <c r="FR34" s="763">
        <f t="shared" si="301"/>
        <v>0</v>
      </c>
      <c r="FS34" s="762">
        <f t="shared" si="301"/>
        <v>0</v>
      </c>
      <c r="FT34" s="1233">
        <f t="shared" si="302"/>
        <v>0</v>
      </c>
      <c r="FU34" s="763">
        <f>[1]Субсидия_факт!PO31</f>
        <v>0</v>
      </c>
      <c r="FV34" s="762">
        <f>[1]Субсидия_факт!PU31</f>
        <v>0</v>
      </c>
      <c r="FW34" s="782">
        <f t="shared" si="303"/>
        <v>0</v>
      </c>
      <c r="FX34" s="763"/>
      <c r="FY34" s="764"/>
      <c r="FZ34" s="920">
        <f t="shared" si="304"/>
        <v>0</v>
      </c>
      <c r="GA34" s="766">
        <f>[1]Субсидия_факт!EP31</f>
        <v>0</v>
      </c>
      <c r="GB34" s="767">
        <f>[1]Субсидия_факт!ER31</f>
        <v>0</v>
      </c>
      <c r="GC34" s="920">
        <f t="shared" si="305"/>
        <v>0</v>
      </c>
      <c r="GD34" s="763"/>
      <c r="GE34" s="764"/>
      <c r="GF34" s="920">
        <f t="shared" si="306"/>
        <v>0</v>
      </c>
      <c r="GG34" s="766">
        <f>[1]Субсидия_факт!JN31</f>
        <v>0</v>
      </c>
      <c r="GH34" s="767">
        <f>[1]Субсидия_факт!JP31</f>
        <v>0</v>
      </c>
      <c r="GI34" s="920">
        <f t="shared" si="307"/>
        <v>0</v>
      </c>
      <c r="GJ34" s="763"/>
      <c r="GK34" s="764"/>
      <c r="GL34" s="1233">
        <f t="shared" si="308"/>
        <v>0</v>
      </c>
      <c r="GM34" s="763">
        <f>[1]Субсидия_факт!JR31</f>
        <v>0</v>
      </c>
      <c r="GN34" s="764">
        <f>[1]Субсидия_факт!JV31</f>
        <v>0</v>
      </c>
      <c r="GO34" s="1233">
        <f t="shared" si="309"/>
        <v>0</v>
      </c>
      <c r="GP34" s="763"/>
      <c r="GQ34" s="764"/>
      <c r="GR34" s="1235">
        <f t="shared" si="310"/>
        <v>0</v>
      </c>
      <c r="GS34" s="783">
        <f t="shared" si="311"/>
        <v>0</v>
      </c>
      <c r="GT34" s="1252">
        <f t="shared" si="312"/>
        <v>0</v>
      </c>
      <c r="GU34" s="783">
        <f t="shared" si="313"/>
        <v>0</v>
      </c>
      <c r="GV34" s="801">
        <f>SUM(GW34:GY34)</f>
        <v>1443797808.29</v>
      </c>
      <c r="GW34" s="766">
        <f>[1]Субсидия_факт!KL31</f>
        <v>13685959.390000001</v>
      </c>
      <c r="GX34" s="767">
        <f>[1]Субсидия_факт!KN31</f>
        <v>260033228.37</v>
      </c>
      <c r="GY34" s="766">
        <f>[1]Субсидия_факт!KP31</f>
        <v>1170078620.53</v>
      </c>
      <c r="GZ34" s="801">
        <f>SUM(HA34:HC34)</f>
        <v>442649752.95999998</v>
      </c>
      <c r="HA34" s="754">
        <v>7396800</v>
      </c>
      <c r="HB34" s="768">
        <v>140539200</v>
      </c>
      <c r="HC34" s="754">
        <v>294713752.95999998</v>
      </c>
      <c r="HD34" s="1235"/>
      <c r="HE34" s="754"/>
      <c r="HF34" s="1235"/>
      <c r="HG34" s="763"/>
      <c r="HH34" s="1235">
        <f t="shared" si="314"/>
        <v>0</v>
      </c>
      <c r="HI34" s="1235">
        <f t="shared" si="315"/>
        <v>0</v>
      </c>
      <c r="HJ34" s="1235">
        <f t="shared" si="316"/>
        <v>0</v>
      </c>
      <c r="HK34" s="1235">
        <f t="shared" si="317"/>
        <v>0</v>
      </c>
      <c r="HL34" s="920">
        <f t="shared" si="318"/>
        <v>1478672773.1399999</v>
      </c>
      <c r="HM34" s="766">
        <f>[1]Субсидия_факт!KV31</f>
        <v>73933652.629999995</v>
      </c>
      <c r="HN34" s="767">
        <f>[1]Субсидия_факт!KX31</f>
        <v>1404739120.51</v>
      </c>
      <c r="HO34" s="910">
        <f t="shared" si="319"/>
        <v>602248163</v>
      </c>
      <c r="HP34" s="754">
        <v>30112413.84</v>
      </c>
      <c r="HQ34" s="768">
        <v>572135749.15999997</v>
      </c>
      <c r="HR34" s="920">
        <f t="shared" si="320"/>
        <v>7336028.1999999881</v>
      </c>
      <c r="HS34" s="766">
        <f>[1]Субсидия_факт!FV31</f>
        <v>7336028.1999999881</v>
      </c>
      <c r="HT34" s="767">
        <f>[1]Субсидия_факт!FZ31</f>
        <v>0</v>
      </c>
      <c r="HU34" s="910">
        <f t="shared" si="321"/>
        <v>0</v>
      </c>
      <c r="HV34" s="754"/>
      <c r="HW34" s="768"/>
      <c r="HX34" s="920">
        <f t="shared" si="322"/>
        <v>0</v>
      </c>
      <c r="HY34" s="766"/>
      <c r="HZ34" s="767"/>
      <c r="IA34" s="910">
        <f t="shared" si="323"/>
        <v>0</v>
      </c>
      <c r="IB34" s="754"/>
      <c r="IC34" s="768"/>
      <c r="ID34" s="1233">
        <f t="shared" si="324"/>
        <v>0</v>
      </c>
      <c r="IE34" s="763">
        <f t="shared" si="325"/>
        <v>0</v>
      </c>
      <c r="IF34" s="762">
        <f t="shared" si="325"/>
        <v>0</v>
      </c>
      <c r="IG34" s="782">
        <f t="shared" si="326"/>
        <v>0</v>
      </c>
      <c r="IH34" s="763">
        <f t="shared" si="327"/>
        <v>0</v>
      </c>
      <c r="II34" s="762">
        <f t="shared" si="327"/>
        <v>0</v>
      </c>
      <c r="IJ34" s="1233">
        <f t="shared" si="328"/>
        <v>0</v>
      </c>
      <c r="IK34" s="763"/>
      <c r="IL34" s="762"/>
      <c r="IM34" s="782">
        <f t="shared" si="329"/>
        <v>0</v>
      </c>
      <c r="IN34" s="763"/>
      <c r="IO34" s="764"/>
      <c r="IP34" s="920">
        <f t="shared" si="330"/>
        <v>0</v>
      </c>
      <c r="IQ34" s="763">
        <f>[1]Субсидия_факт!ED31</f>
        <v>0</v>
      </c>
      <c r="IR34" s="764">
        <f>[1]Субсидия_факт!EF31</f>
        <v>0</v>
      </c>
      <c r="IS34" s="910">
        <f t="shared" si="331"/>
        <v>0</v>
      </c>
      <c r="IT34" s="754"/>
      <c r="IU34" s="768"/>
      <c r="IV34" s="1272">
        <f t="shared" si="332"/>
        <v>0</v>
      </c>
      <c r="IW34" s="763"/>
      <c r="IX34" s="764"/>
      <c r="IY34" s="1237">
        <f t="shared" si="333"/>
        <v>0</v>
      </c>
      <c r="IZ34" s="754"/>
      <c r="JA34" s="768"/>
      <c r="JB34" s="1233"/>
      <c r="JC34" s="782"/>
      <c r="JD34" s="1233"/>
      <c r="JE34" s="782"/>
      <c r="JF34" s="920">
        <f t="shared" si="334"/>
        <v>0</v>
      </c>
      <c r="JG34" s="763">
        <f>[1]Субсидия_факт!BX31</f>
        <v>0</v>
      </c>
      <c r="JH34" s="764">
        <f>[1]Субсидия_факт!BZ31</f>
        <v>0</v>
      </c>
      <c r="JI34" s="910">
        <f t="shared" si="335"/>
        <v>0</v>
      </c>
      <c r="JJ34" s="754"/>
      <c r="JK34" s="768"/>
      <c r="JL34" s="920">
        <f t="shared" si="336"/>
        <v>0</v>
      </c>
      <c r="JM34" s="766">
        <f>[1]Субсидия_факт!ET31</f>
        <v>0</v>
      </c>
      <c r="JN34" s="767">
        <f>[1]Субсидия_факт!EV31</f>
        <v>0</v>
      </c>
      <c r="JO34" s="910">
        <f t="shared" si="337"/>
        <v>0</v>
      </c>
      <c r="JP34" s="754"/>
      <c r="JQ34" s="768"/>
      <c r="JR34" s="919">
        <f t="shared" si="338"/>
        <v>0</v>
      </c>
      <c r="JS34" s="763">
        <f>[1]Субсидия_факт!EX31</f>
        <v>0</v>
      </c>
      <c r="JT34" s="762">
        <f>[1]Субсидия_факт!FD31</f>
        <v>0</v>
      </c>
      <c r="JU34" s="910">
        <f t="shared" si="339"/>
        <v>0</v>
      </c>
      <c r="JV34" s="763"/>
      <c r="JW34" s="764"/>
      <c r="JX34" s="910"/>
      <c r="JY34" s="763"/>
      <c r="JZ34" s="764"/>
      <c r="KA34" s="910"/>
      <c r="KB34" s="754"/>
      <c r="KC34" s="768"/>
      <c r="KD34" s="782"/>
      <c r="KE34" s="755"/>
      <c r="KF34" s="764"/>
      <c r="KG34" s="1225"/>
      <c r="KH34" s="754"/>
      <c r="KI34" s="771"/>
      <c r="KJ34" s="782"/>
      <c r="KK34" s="763"/>
      <c r="KL34" s="762"/>
      <c r="KM34" s="782"/>
      <c r="KN34" s="763"/>
      <c r="KO34" s="764"/>
      <c r="KP34" s="1217">
        <f t="shared" si="340"/>
        <v>7649842.8799999999</v>
      </c>
      <c r="KQ34" s="754">
        <f>[1]Субсидия_факт!OD31</f>
        <v>2450510</v>
      </c>
      <c r="KR34" s="764">
        <f>[1]Субсидия_факт!OJ31</f>
        <v>1888482.88</v>
      </c>
      <c r="KS34" s="754">
        <f>[1]Субсидия_факт!OR31</f>
        <v>1203651.8400000001</v>
      </c>
      <c r="KT34" s="764">
        <f>[1]Субсидия_факт!OT31</f>
        <v>2107198.16</v>
      </c>
      <c r="KU34" s="1217">
        <f t="shared" si="341"/>
        <v>0</v>
      </c>
      <c r="KV34" s="754"/>
      <c r="KW34" s="764"/>
      <c r="KX34" s="754"/>
      <c r="KY34" s="764"/>
      <c r="KZ34" s="1217"/>
      <c r="LA34" s="755"/>
      <c r="LB34" s="764"/>
      <c r="LC34" s="755"/>
      <c r="LD34" s="764"/>
      <c r="LE34" s="1217"/>
      <c r="LF34" s="754"/>
      <c r="LG34" s="764"/>
      <c r="LH34" s="754"/>
      <c r="LI34" s="764"/>
      <c r="LJ34" s="1219"/>
      <c r="LK34" s="755"/>
      <c r="LL34" s="764"/>
      <c r="LM34" s="1219"/>
      <c r="LN34" s="755"/>
      <c r="LO34" s="764"/>
      <c r="LP34" s="1219"/>
      <c r="LQ34" s="763"/>
      <c r="LR34" s="762"/>
      <c r="LS34" s="1219"/>
      <c r="LT34" s="755"/>
      <c r="LU34" s="764"/>
      <c r="LV34" s="957">
        <f t="shared" si="342"/>
        <v>0</v>
      </c>
      <c r="LW34" s="769">
        <f>[1]Субсидия_факт!DP31</f>
        <v>0</v>
      </c>
      <c r="LX34" s="754">
        <f>[1]Субсидия_факт!CB31</f>
        <v>0</v>
      </c>
      <c r="LY34" s="764">
        <f>[1]Субсидия_факт!CH31</f>
        <v>0</v>
      </c>
      <c r="LZ34" s="957">
        <f t="shared" si="343"/>
        <v>0</v>
      </c>
      <c r="MA34" s="754"/>
      <c r="MB34" s="754"/>
      <c r="MC34" s="764"/>
      <c r="MD34" s="957"/>
      <c r="ME34" s="769"/>
      <c r="MF34" s="754"/>
      <c r="MG34" s="764"/>
      <c r="MH34" s="957"/>
      <c r="MI34" s="754"/>
      <c r="MJ34" s="754"/>
      <c r="MK34" s="764"/>
      <c r="ML34" s="783">
        <f t="shared" si="344"/>
        <v>0</v>
      </c>
      <c r="MM34" s="754"/>
      <c r="MN34" s="754"/>
      <c r="MO34" s="764"/>
      <c r="MP34" s="783">
        <f t="shared" si="345"/>
        <v>0</v>
      </c>
      <c r="MQ34" s="754"/>
      <c r="MR34" s="754"/>
      <c r="MS34" s="768"/>
      <c r="MT34" s="783">
        <f t="shared" si="346"/>
        <v>0</v>
      </c>
      <c r="MU34" s="754"/>
      <c r="MV34" s="754"/>
      <c r="MW34" s="764"/>
      <c r="MX34" s="783">
        <f t="shared" si="347"/>
        <v>0</v>
      </c>
      <c r="MY34" s="754"/>
      <c r="MZ34" s="754"/>
      <c r="NA34" s="764"/>
      <c r="NB34" s="1224">
        <f t="shared" si="348"/>
        <v>1205637.06</v>
      </c>
      <c r="NC34" s="754">
        <f>[1]Субсидия_факт!CN31</f>
        <v>0</v>
      </c>
      <c r="ND34" s="762">
        <f>[1]Субсидия_факт!CP31</f>
        <v>0</v>
      </c>
      <c r="NE34" s="766">
        <f>[1]Субсидия_факт!CR31</f>
        <v>0</v>
      </c>
      <c r="NF34" s="767">
        <f>[1]Субсидия_факт!CT31</f>
        <v>0</v>
      </c>
      <c r="NG34" s="755">
        <f>[1]Субсидия_факт!DV31</f>
        <v>0</v>
      </c>
      <c r="NH34" s="763">
        <f>[1]Субсидия_факт!FJ31</f>
        <v>313465.63</v>
      </c>
      <c r="NI34" s="762">
        <f>[1]Субсидия_факт!FP31</f>
        <v>892171.43</v>
      </c>
      <c r="NJ34" s="910">
        <f t="shared" si="349"/>
        <v>1128414.1000000001</v>
      </c>
      <c r="NK34" s="754"/>
      <c r="NL34" s="764"/>
      <c r="NM34" s="754"/>
      <c r="NN34" s="768"/>
      <c r="NO34" s="754"/>
      <c r="NP34" s="754">
        <v>293387.67</v>
      </c>
      <c r="NQ34" s="764">
        <v>835026.43</v>
      </c>
      <c r="NR34" s="910">
        <f t="shared" si="350"/>
        <v>0</v>
      </c>
      <c r="NS34" s="763"/>
      <c r="NT34" s="762"/>
      <c r="NU34" s="910">
        <f t="shared" si="351"/>
        <v>0</v>
      </c>
      <c r="NV34" s="755"/>
      <c r="NW34" s="764"/>
      <c r="NX34" s="782">
        <f t="shared" si="352"/>
        <v>0</v>
      </c>
      <c r="NY34" s="763"/>
      <c r="NZ34" s="764"/>
      <c r="OA34" s="782">
        <f t="shared" si="353"/>
        <v>0</v>
      </c>
      <c r="OB34" s="754"/>
      <c r="OC34" s="771"/>
      <c r="OD34" s="782">
        <f t="shared" si="354"/>
        <v>0</v>
      </c>
      <c r="OE34" s="763"/>
      <c r="OF34" s="762"/>
      <c r="OG34" s="782">
        <f t="shared" si="355"/>
        <v>0</v>
      </c>
      <c r="OH34" s="754"/>
      <c r="OI34" s="764"/>
      <c r="OJ34" s="919">
        <f t="shared" si="356"/>
        <v>0</v>
      </c>
      <c r="OK34" s="763">
        <f>[1]Субсидия_факт!AR31</f>
        <v>0</v>
      </c>
      <c r="OL34" s="762">
        <f>[1]Субсидия_факт!AT31</f>
        <v>0</v>
      </c>
      <c r="OM34" s="763">
        <f>[1]Субсидия_факт!AV31</f>
        <v>0</v>
      </c>
      <c r="ON34" s="910">
        <f t="shared" si="357"/>
        <v>0</v>
      </c>
      <c r="OO34" s="754"/>
      <c r="OP34" s="764"/>
      <c r="OQ34" s="754"/>
      <c r="OR34" s="1217">
        <f t="shared" si="358"/>
        <v>318341604.89999998</v>
      </c>
      <c r="OS34" s="763">
        <f>[1]Субсидия_факт!GD31</f>
        <v>7336028.1999999881</v>
      </c>
      <c r="OT34" s="762">
        <f>[1]Субсидия_факт!GJ31</f>
        <v>139384500</v>
      </c>
      <c r="OU34" s="770">
        <f>[1]Субсидия_факт!GP31</f>
        <v>171621076.69999999</v>
      </c>
      <c r="OV34" s="1217">
        <f t="shared" si="359"/>
        <v>85913042.140000001</v>
      </c>
      <c r="OW34" s="755">
        <v>2675262.85</v>
      </c>
      <c r="OX34" s="764">
        <v>50829981.100000001</v>
      </c>
      <c r="OY34" s="754">
        <v>32407798.190000001</v>
      </c>
      <c r="OZ34" s="1217"/>
      <c r="PA34" s="763"/>
      <c r="PB34" s="762"/>
      <c r="PC34" s="754"/>
      <c r="PD34" s="1217"/>
      <c r="PE34" s="754"/>
      <c r="PF34" s="771"/>
      <c r="PG34" s="754"/>
      <c r="PH34" s="1219"/>
      <c r="PI34" s="755"/>
      <c r="PJ34" s="764"/>
      <c r="PK34" s="754"/>
      <c r="PL34" s="1219"/>
      <c r="PM34" s="755"/>
      <c r="PN34" s="764"/>
      <c r="PO34" s="754"/>
      <c r="PP34" s="1219"/>
      <c r="PQ34" s="763"/>
      <c r="PR34" s="762"/>
      <c r="PS34" s="763"/>
      <c r="PT34" s="1219"/>
      <c r="PU34" s="755"/>
      <c r="PV34" s="764"/>
      <c r="PW34" s="763"/>
      <c r="PX34" s="910"/>
      <c r="PY34" s="755"/>
      <c r="PZ34" s="764"/>
      <c r="QA34" s="755"/>
      <c r="QB34" s="764"/>
      <c r="QC34" s="910"/>
      <c r="QD34" s="754"/>
      <c r="QE34" s="768"/>
      <c r="QF34" s="754"/>
      <c r="QG34" s="768"/>
      <c r="QH34" s="910"/>
      <c r="QI34" s="755"/>
      <c r="QJ34" s="764"/>
      <c r="QK34" s="910"/>
      <c r="QL34" s="754"/>
      <c r="QM34" s="768"/>
      <c r="QN34" s="782"/>
      <c r="QO34" s="754"/>
      <c r="QP34" s="764"/>
      <c r="QQ34" s="782"/>
      <c r="QR34" s="754"/>
      <c r="QS34" s="764"/>
      <c r="QT34" s="782"/>
      <c r="QU34" s="763"/>
      <c r="QV34" s="764"/>
      <c r="QW34" s="782"/>
      <c r="QX34" s="754"/>
      <c r="QY34" s="768"/>
      <c r="QZ34" s="920">
        <f t="shared" si="360"/>
        <v>6974526.3200000003</v>
      </c>
      <c r="RA34" s="766">
        <f>[1]Субсидия_факт!CV31</f>
        <v>348726.3200000003</v>
      </c>
      <c r="RB34" s="767">
        <f>[1]Субсидия_факт!CX31</f>
        <v>6625800</v>
      </c>
      <c r="RC34" s="910">
        <f t="shared" si="361"/>
        <v>1639838.96</v>
      </c>
      <c r="RD34" s="754">
        <v>81991.95</v>
      </c>
      <c r="RE34" s="768">
        <v>1557847.01</v>
      </c>
      <c r="RF34" s="920">
        <f t="shared" si="362"/>
        <v>0</v>
      </c>
      <c r="RG34" s="766">
        <f>[1]Субсидия_факт!CZ31</f>
        <v>0</v>
      </c>
      <c r="RH34" s="767">
        <f>[1]Субсидия_факт!DF31</f>
        <v>0</v>
      </c>
      <c r="RI34" s="910">
        <f t="shared" si="363"/>
        <v>0</v>
      </c>
      <c r="RJ34" s="754"/>
      <c r="RK34" s="768"/>
      <c r="RL34" s="920">
        <f t="shared" si="364"/>
        <v>0</v>
      </c>
      <c r="RM34" s="766"/>
      <c r="RN34" s="767"/>
      <c r="RO34" s="910">
        <f t="shared" si="365"/>
        <v>0</v>
      </c>
      <c r="RP34" s="754"/>
      <c r="RQ34" s="768"/>
      <c r="RR34" s="1233">
        <f t="shared" si="366"/>
        <v>0</v>
      </c>
      <c r="RS34" s="766"/>
      <c r="RT34" s="767"/>
      <c r="RU34" s="782">
        <f t="shared" si="367"/>
        <v>0</v>
      </c>
      <c r="RV34" s="754"/>
      <c r="RW34" s="768"/>
      <c r="RX34" s="1233">
        <f t="shared" si="368"/>
        <v>0</v>
      </c>
      <c r="RY34" s="766"/>
      <c r="RZ34" s="767"/>
      <c r="SA34" s="782">
        <f t="shared" si="369"/>
        <v>0</v>
      </c>
      <c r="SB34" s="754"/>
      <c r="SC34" s="768"/>
      <c r="SD34" s="920">
        <f t="shared" si="370"/>
        <v>0</v>
      </c>
      <c r="SE34" s="766">
        <f>[1]Субсидия_факт!DL31</f>
        <v>0</v>
      </c>
      <c r="SF34" s="767">
        <f>[1]Субсидия_факт!DN31</f>
        <v>0</v>
      </c>
      <c r="SG34" s="910">
        <f t="shared" si="371"/>
        <v>0</v>
      </c>
      <c r="SH34" s="755"/>
      <c r="SI34" s="762"/>
      <c r="SJ34" s="957">
        <f t="shared" si="372"/>
        <v>576955042.46000004</v>
      </c>
      <c r="SK34" s="763">
        <f>[1]Субсидия_факт!BJ31</f>
        <v>168595447.86000001</v>
      </c>
      <c r="SL34" s="766">
        <f>[1]Субсидия_факт!BF31</f>
        <v>106173494.60000002</v>
      </c>
      <c r="SM34" s="828">
        <f>[1]Субсидия_факт!BH31</f>
        <v>302186100</v>
      </c>
      <c r="SN34" s="957">
        <f t="shared" si="373"/>
        <v>280800935.16999996</v>
      </c>
      <c r="SO34" s="754">
        <v>32457682.829999998</v>
      </c>
      <c r="SP34" s="1159">
        <f>59924594.87+4644650.74</f>
        <v>64569245.609999999</v>
      </c>
      <c r="SQ34" s="1160">
        <f>188418657.47-4644650.74</f>
        <v>183774006.72999999</v>
      </c>
      <c r="SR34" s="920">
        <f t="shared" si="374"/>
        <v>0</v>
      </c>
      <c r="SS34" s="766">
        <f>[1]Субсидия_факт!AD31</f>
        <v>0</v>
      </c>
      <c r="ST34" s="767">
        <f>[1]Субсидия_факт!AF31</f>
        <v>0</v>
      </c>
      <c r="SU34" s="910">
        <f t="shared" si="375"/>
        <v>0</v>
      </c>
      <c r="SV34" s="755"/>
      <c r="SW34" s="762"/>
      <c r="SX34" s="957">
        <f t="shared" si="376"/>
        <v>13685959.390000001</v>
      </c>
      <c r="SY34" s="755"/>
      <c r="SZ34" s="764"/>
      <c r="TA34" s="789">
        <f>[1]Субсидия_факт!IP31</f>
        <v>0</v>
      </c>
      <c r="TB34" s="767">
        <f>[1]Субсидия_факт!IV31</f>
        <v>0</v>
      </c>
      <c r="TC34" s="1298">
        <f>[1]Субсидия_факт!JZ31</f>
        <v>13685959.390000001</v>
      </c>
      <c r="TD34" s="767">
        <f>[1]Субсидия_факт!KF31</f>
        <v>0</v>
      </c>
      <c r="TE34" s="957">
        <f t="shared" si="377"/>
        <v>0</v>
      </c>
      <c r="TF34" s="1098"/>
      <c r="TG34" s="768"/>
      <c r="TH34" s="1098"/>
      <c r="TI34" s="768"/>
      <c r="TJ34" s="1098"/>
      <c r="TK34" s="762"/>
      <c r="TL34" s="910"/>
      <c r="TM34" s="755"/>
      <c r="TN34" s="764"/>
      <c r="TO34" s="1098"/>
      <c r="TP34" s="768"/>
      <c r="TQ34" s="755"/>
      <c r="TR34" s="764"/>
      <c r="TS34" s="910"/>
      <c r="TT34" s="754"/>
      <c r="TU34" s="768"/>
      <c r="TV34" s="1098"/>
      <c r="TW34" s="768"/>
      <c r="TX34" s="754"/>
      <c r="TY34" s="768"/>
      <c r="TZ34" s="782"/>
      <c r="UA34" s="763"/>
      <c r="UB34" s="764"/>
      <c r="UC34" s="763"/>
      <c r="UD34" s="764"/>
      <c r="UE34" s="755"/>
      <c r="UF34" s="764"/>
      <c r="UG34" s="782"/>
      <c r="UH34" s="763"/>
      <c r="UI34" s="764"/>
      <c r="UJ34" s="763"/>
      <c r="UK34" s="764"/>
      <c r="UL34" s="755"/>
      <c r="UM34" s="764"/>
      <c r="UN34" s="782"/>
      <c r="UO34" s="763"/>
      <c r="UP34" s="764"/>
      <c r="UQ34" s="1098"/>
      <c r="UR34" s="768"/>
      <c r="US34" s="755"/>
      <c r="UT34" s="764"/>
      <c r="UU34" s="782"/>
      <c r="UV34" s="1098"/>
      <c r="UW34" s="768"/>
      <c r="UX34" s="1098"/>
      <c r="UY34" s="768"/>
      <c r="UZ34" s="1098"/>
      <c r="VA34" s="768"/>
      <c r="VB34" s="957">
        <f>'Прочая  субсидия_МР  и  ГО'!B29</f>
        <v>1845982488.7</v>
      </c>
      <c r="VC34" s="957">
        <f>'Прочая  субсидия_МР  и  ГО'!C29</f>
        <v>490080943.34000003</v>
      </c>
      <c r="VD34" s="957"/>
      <c r="VE34" s="957"/>
      <c r="VF34" s="1299"/>
      <c r="VG34" s="958"/>
      <c r="VH34" s="1299"/>
      <c r="VI34" s="958"/>
      <c r="VJ34" s="957">
        <f t="shared" si="378"/>
        <v>7123069160.2300005</v>
      </c>
      <c r="VK34" s="770">
        <f>'Проверочная  таблица'!WM34+'Проверочная  таблица'!VP34+'Проверочная  таблица'!VR34+WG34</f>
        <v>6903660839.4200001</v>
      </c>
      <c r="VL34" s="770">
        <f>'Проверочная  таблица'!WN34+'Проверочная  таблица'!VV34+'Проверочная  таблица'!WB34+'Проверочная  таблица'!VX34+'Проверочная  таблица'!VZ34+WD34+WH34</f>
        <v>219408320.81</v>
      </c>
      <c r="VM34" s="957">
        <f t="shared" si="379"/>
        <v>3916105113.75</v>
      </c>
      <c r="VN34" s="770">
        <f>'Проверочная  таблица'!WP34+'Проверочная  таблица'!VQ34+'Проверочная  таблица'!VS34+WJ34</f>
        <v>3800005913.75</v>
      </c>
      <c r="VO34" s="1300">
        <f>'Проверочная  таблица'!WQ34+'Проверочная  таблица'!VW34+'Проверочная  таблица'!WC34+'Проверочная  таблица'!VY34+'Проверочная  таблица'!WA34+WE34+WK34</f>
        <v>116099200</v>
      </c>
      <c r="VP34" s="957">
        <f>'Субвенция  на  полномочия'!B26</f>
        <v>6714526268.3299999</v>
      </c>
      <c r="VQ34" s="957">
        <f>'Субвенция  на  полномочия'!C26</f>
        <v>3698954681.3200002</v>
      </c>
      <c r="VR34" s="790">
        <f>[1]Субвенция_факт!M30*1000</f>
        <v>113685220</v>
      </c>
      <c r="VS34" s="796">
        <v>60800000</v>
      </c>
      <c r="VT34" s="823"/>
      <c r="VU34" s="796"/>
      <c r="VV34" s="823"/>
      <c r="VW34" s="796"/>
      <c r="VX34" s="1256">
        <f>[1]Субвенция_факт!AG30*1000</f>
        <v>63100</v>
      </c>
      <c r="VY34" s="797"/>
      <c r="VZ34" s="792">
        <f>[1]Субвенция_факт!E30*1000</f>
        <v>0</v>
      </c>
      <c r="WA34" s="797"/>
      <c r="WB34" s="792">
        <f>[1]Субвенция_факт!F30*1000</f>
        <v>0</v>
      </c>
      <c r="WC34" s="797"/>
      <c r="WD34" s="791">
        <f>[1]Субвенция_факт!G30*1000</f>
        <v>4604760</v>
      </c>
      <c r="WE34" s="796">
        <v>1538000</v>
      </c>
      <c r="WF34" s="957">
        <f t="shared" si="380"/>
        <v>290189811.89999998</v>
      </c>
      <c r="WG34" s="766">
        <f>[1]Субвенция_факт!P30*1000</f>
        <v>75449351.089999974</v>
      </c>
      <c r="WH34" s="767">
        <f>[1]Субвенция_факт!Q30*1000</f>
        <v>214740460.81</v>
      </c>
      <c r="WI34" s="957">
        <f t="shared" si="381"/>
        <v>154812432.43000001</v>
      </c>
      <c r="WJ34" s="770">
        <v>40251232.43</v>
      </c>
      <c r="WK34" s="798">
        <v>114561200</v>
      </c>
      <c r="WL34" s="910">
        <f t="shared" si="382"/>
        <v>0</v>
      </c>
      <c r="WM34" s="799">
        <f>[1]Субвенция_факт!X30*1000</f>
        <v>0</v>
      </c>
      <c r="WN34" s="800">
        <f>[1]Субвенция_факт!W30*1000</f>
        <v>0</v>
      </c>
      <c r="WO34" s="910">
        <f t="shared" si="383"/>
        <v>0</v>
      </c>
      <c r="WP34" s="770"/>
      <c r="WQ34" s="798"/>
      <c r="WR34" s="957">
        <f t="shared" si="384"/>
        <v>726876997.63000011</v>
      </c>
      <c r="WS34" s="957">
        <f t="shared" si="385"/>
        <v>288491864.16000003</v>
      </c>
      <c r="WT34" s="910">
        <f t="shared" si="386"/>
        <v>0</v>
      </c>
      <c r="WU34" s="799">
        <f>'[1]Иные межбюджетные трансферты'!AM31</f>
        <v>0</v>
      </c>
      <c r="WV34" s="800">
        <f>'[1]Иные межбюджетные трансферты'!AO31</f>
        <v>0</v>
      </c>
      <c r="WW34" s="910">
        <f>SUM(WX34:WY34)</f>
        <v>0</v>
      </c>
      <c r="WX34" s="962"/>
      <c r="WY34" s="963"/>
      <c r="WZ34" s="910">
        <f t="shared" si="387"/>
        <v>17535980.860000003</v>
      </c>
      <c r="XA34" s="799">
        <f>'[1]Иные межбюджетные трансферты'!AI31</f>
        <v>876799.04</v>
      </c>
      <c r="XB34" s="800">
        <f>'[1]Иные межбюджетные трансферты'!AK31</f>
        <v>16659181.820000002</v>
      </c>
      <c r="XC34" s="910">
        <f>SUM(XD34:XE34)</f>
        <v>11683368.42</v>
      </c>
      <c r="XD34" s="962">
        <v>584168.42000000004</v>
      </c>
      <c r="XE34" s="963">
        <v>11099200</v>
      </c>
      <c r="XF34" s="910">
        <f t="shared" si="388"/>
        <v>184772331</v>
      </c>
      <c r="XG34" s="799">
        <f>'[1]Иные межбюджетные трансферты'!I31</f>
        <v>0</v>
      </c>
      <c r="XH34" s="800">
        <f>'[1]Иные межбюджетные трансферты'!K31</f>
        <v>184772331</v>
      </c>
      <c r="XI34" s="910">
        <f>SUM(XJ34:XK34)</f>
        <v>122160000</v>
      </c>
      <c r="XJ34" s="962"/>
      <c r="XK34" s="963">
        <v>122160000</v>
      </c>
      <c r="XL34" s="1253">
        <f>SUM(XM34:XM34)</f>
        <v>0</v>
      </c>
      <c r="XM34" s="789">
        <f>'[1]Иные межбюджетные трансферты'!M31</f>
        <v>0</v>
      </c>
      <c r="XN34" s="957">
        <f>SUM(XO34:XO34)</f>
        <v>0</v>
      </c>
      <c r="XO34" s="769"/>
      <c r="XP34" s="957">
        <f>SUM(XQ34:XQ34)</f>
        <v>0</v>
      </c>
      <c r="XQ34" s="769"/>
      <c r="XR34" s="957">
        <f>SUM(XS34:XS34)</f>
        <v>0</v>
      </c>
      <c r="XS34" s="769"/>
      <c r="XT34" s="783"/>
      <c r="XU34" s="783"/>
      <c r="XV34" s="783"/>
      <c r="XW34" s="783"/>
      <c r="XX34" s="957">
        <f t="shared" si="389"/>
        <v>524568685.77000004</v>
      </c>
      <c r="XY34" s="799">
        <f>'[1]Иные межбюджетные трансферты'!E31</f>
        <v>0</v>
      </c>
      <c r="XZ34" s="786">
        <f>'[1]Иные межбюджетные трансферты'!G31</f>
        <v>94050180</v>
      </c>
      <c r="YA34" s="786">
        <f>'[1]Иные межбюджетные трансферты'!Q31</f>
        <v>0</v>
      </c>
      <c r="YB34" s="787">
        <f>'[1]Иные межбюджетные трансферты'!W31</f>
        <v>355374797.69</v>
      </c>
      <c r="YC34" s="786">
        <f>'[1]Иные межбюджетные трансферты'!Y31</f>
        <v>0</v>
      </c>
      <c r="YD34" s="786">
        <f>'[1]Иные межбюджетные трансферты'!AE31</f>
        <v>66966226.409999996</v>
      </c>
      <c r="YE34" s="786">
        <f>'[1]Иные межбюджетные трансферты'!AQ31</f>
        <v>0</v>
      </c>
      <c r="YF34" s="766">
        <f>'[1]Иные межбюджетные трансферты'!AW31</f>
        <v>0</v>
      </c>
      <c r="YG34" s="786">
        <f>'[1]Иные межбюджетные трансферты'!AY31</f>
        <v>0</v>
      </c>
      <c r="YH34" s="1116">
        <f>'[1]Иные межбюджетные трансферты'!BA31</f>
        <v>8177481.6699999999</v>
      </c>
      <c r="YI34" s="957">
        <f t="shared" si="390"/>
        <v>154648495.74000001</v>
      </c>
      <c r="YJ34" s="786"/>
      <c r="YK34" s="786"/>
      <c r="YL34" s="763"/>
      <c r="YM34" s="786">
        <v>151401068.86000001</v>
      </c>
      <c r="YN34" s="786"/>
      <c r="YO34" s="786">
        <v>1330149.97</v>
      </c>
      <c r="YP34" s="786"/>
      <c r="YQ34" s="786"/>
      <c r="YR34" s="786"/>
      <c r="YS34" s="751">
        <v>1917276.91</v>
      </c>
      <c r="YT34" s="910">
        <f>SUM(YU34:YY34)</f>
        <v>0</v>
      </c>
      <c r="YU34" s="786"/>
      <c r="YV34" s="786"/>
      <c r="YW34" s="786"/>
      <c r="YX34" s="786"/>
      <c r="YY34" s="755"/>
      <c r="YZ34" s="910">
        <f>SUM(ZA34:ZE34)</f>
        <v>0</v>
      </c>
      <c r="ZA34" s="754"/>
      <c r="ZB34" s="754"/>
      <c r="ZC34" s="754"/>
      <c r="ZD34" s="786"/>
      <c r="ZE34" s="755"/>
      <c r="ZF34" s="782">
        <f>SUM(ZG34:ZK34)</f>
        <v>0</v>
      </c>
      <c r="ZG34" s="763">
        <f>'Проверочная  таблица'!YU34-ZS34</f>
        <v>0</v>
      </c>
      <c r="ZH34" s="763">
        <f>'Проверочная  таблица'!YV34-ZT34</f>
        <v>0</v>
      </c>
      <c r="ZI34" s="763">
        <f>'Проверочная  таблица'!YW34-ZU34</f>
        <v>0</v>
      </c>
      <c r="ZJ34" s="763">
        <f>'Проверочная  таблица'!YX34-ZV34</f>
        <v>0</v>
      </c>
      <c r="ZK34" s="763">
        <f>'Проверочная  таблица'!YY34-ZW34</f>
        <v>0</v>
      </c>
      <c r="ZL34" s="782">
        <f>SUM(ZM34:ZQ34)</f>
        <v>0</v>
      </c>
      <c r="ZM34" s="763">
        <f>'Проверочная  таблица'!ZA34-ZY34</f>
        <v>0</v>
      </c>
      <c r="ZN34" s="763">
        <f>'Проверочная  таблица'!ZB34-ZZ34</f>
        <v>0</v>
      </c>
      <c r="ZO34" s="763">
        <f>'Проверочная  таблица'!ZC34-AAA34</f>
        <v>0</v>
      </c>
      <c r="ZP34" s="763">
        <f>'Проверочная  таблица'!ZD34-AAB34</f>
        <v>0</v>
      </c>
      <c r="ZQ34" s="763">
        <f>'Проверочная  таблица'!ZE34-AAC34</f>
        <v>0</v>
      </c>
      <c r="ZR34" s="782">
        <f>SUM(ZS34:ZW34)</f>
        <v>0</v>
      </c>
      <c r="ZS34" s="839"/>
      <c r="ZT34" s="839"/>
      <c r="ZU34" s="1154"/>
      <c r="ZV34" s="786"/>
      <c r="ZW34" s="755"/>
      <c r="ZX34" s="782">
        <f>SUM(ZY34:AAC34)</f>
        <v>0</v>
      </c>
      <c r="ZY34" s="754"/>
      <c r="ZZ34" s="754"/>
      <c r="AAA34" s="754"/>
      <c r="AAB34" s="786"/>
      <c r="AAC34" s="755"/>
      <c r="AAD34" s="957">
        <f>AAF34+'Проверочная  таблица'!AAN34+AAJ34+'Проверочная  таблица'!AAR34+AAL34+'Проверочная  таблица'!AAT34</f>
        <v>-1515000000</v>
      </c>
      <c r="AAE34" s="957">
        <f>AAG34+'Проверочная  таблица'!AAO34+AAK34+'Проверочная  таблица'!AAS34+AAM34+'Проверочная  таблица'!AAU34</f>
        <v>-30000000</v>
      </c>
      <c r="AAF34" s="957"/>
      <c r="AAG34" s="957"/>
      <c r="AAH34" s="957"/>
      <c r="AAI34" s="957"/>
      <c r="AAJ34" s="809"/>
      <c r="AAK34" s="809"/>
      <c r="AAL34" s="809"/>
      <c r="AAM34" s="809"/>
      <c r="AAN34" s="957">
        <v>-1515000000</v>
      </c>
      <c r="AAO34" s="957">
        <v>-30000000</v>
      </c>
      <c r="AAP34" s="957"/>
      <c r="AAQ34" s="957"/>
      <c r="AAR34" s="809"/>
      <c r="AAS34" s="809"/>
      <c r="AAT34" s="809"/>
      <c r="AAU34" s="809"/>
      <c r="AAV34" s="1246">
        <f>'Проверочная  таблица'!AAN34+'Проверочная  таблица'!AAP34</f>
        <v>-1515000000</v>
      </c>
      <c r="AAW34" s="1246">
        <f>'Проверочная  таблица'!AAO34+'Проверочная  таблица'!AAQ34</f>
        <v>-30000000</v>
      </c>
    </row>
    <row r="35" spans="1:725" ht="24" customHeight="1" thickBot="1" x14ac:dyDescent="0.3">
      <c r="A35" s="845" t="s">
        <v>339</v>
      </c>
      <c r="B35" s="942">
        <f t="shared" ref="B35:AL35" si="391">SUM(B33:B34)</f>
        <v>22629108362.93</v>
      </c>
      <c r="C35" s="942">
        <f t="shared" si="391"/>
        <v>9583129803.7799988</v>
      </c>
      <c r="D35" s="964">
        <f t="shared" si="391"/>
        <v>4199910443.3000002</v>
      </c>
      <c r="E35" s="849">
        <f t="shared" si="391"/>
        <v>1637693745.9100001</v>
      </c>
      <c r="F35" s="942">
        <f t="shared" si="391"/>
        <v>1335521129.3</v>
      </c>
      <c r="G35" s="872">
        <f t="shared" si="391"/>
        <v>625943745.90999997</v>
      </c>
      <c r="H35" s="943">
        <f t="shared" si="391"/>
        <v>0</v>
      </c>
      <c r="I35" s="849">
        <f t="shared" si="391"/>
        <v>0</v>
      </c>
      <c r="J35" s="866">
        <f t="shared" si="391"/>
        <v>0</v>
      </c>
      <c r="K35" s="965">
        <f t="shared" si="391"/>
        <v>0</v>
      </c>
      <c r="L35" s="966">
        <f t="shared" si="391"/>
        <v>0</v>
      </c>
      <c r="M35" s="967">
        <f t="shared" si="391"/>
        <v>0</v>
      </c>
      <c r="N35" s="856">
        <f t="shared" si="391"/>
        <v>2862589314.0000005</v>
      </c>
      <c r="O35" s="849">
        <f t="shared" si="391"/>
        <v>1011750000</v>
      </c>
      <c r="P35" s="857">
        <f t="shared" si="391"/>
        <v>0</v>
      </c>
      <c r="Q35" s="872">
        <f t="shared" si="391"/>
        <v>0</v>
      </c>
      <c r="R35" s="966">
        <f t="shared" si="391"/>
        <v>0</v>
      </c>
      <c r="S35" s="968">
        <f t="shared" si="391"/>
        <v>0</v>
      </c>
      <c r="T35" s="866">
        <f t="shared" si="391"/>
        <v>0</v>
      </c>
      <c r="U35" s="965">
        <f t="shared" si="391"/>
        <v>0</v>
      </c>
      <c r="V35" s="857">
        <f t="shared" ref="V35" si="392">SUM(V33:V34)</f>
        <v>1800000</v>
      </c>
      <c r="W35" s="969">
        <f t="shared" ref="W35" si="393">SUM(W33:W34)</f>
        <v>0</v>
      </c>
      <c r="X35" s="970">
        <f t="shared" ref="X35:Y35" si="394">SUM(X33:X34)</f>
        <v>1800000</v>
      </c>
      <c r="Y35" s="970">
        <f t="shared" si="394"/>
        <v>0</v>
      </c>
      <c r="Z35" s="857">
        <f t="shared" si="391"/>
        <v>0</v>
      </c>
      <c r="AA35" s="969">
        <f t="shared" si="391"/>
        <v>0</v>
      </c>
      <c r="AB35" s="970">
        <f t="shared" ref="AB35" si="395">SUM(AB33:AB34)</f>
        <v>0</v>
      </c>
      <c r="AC35" s="969">
        <f t="shared" si="391"/>
        <v>0</v>
      </c>
      <c r="AD35" s="857">
        <f t="shared" ref="AD35" si="396">SUM(AD33:AD34)</f>
        <v>0</v>
      </c>
      <c r="AE35" s="877">
        <f t="shared" ref="AE35:AF35" si="397">SUM(AE33:AE34)</f>
        <v>0</v>
      </c>
      <c r="AF35" s="883">
        <f t="shared" si="397"/>
        <v>0</v>
      </c>
      <c r="AG35" s="857">
        <f t="shared" si="391"/>
        <v>0</v>
      </c>
      <c r="AH35" s="877">
        <f t="shared" si="391"/>
        <v>0</v>
      </c>
      <c r="AI35" s="883">
        <f t="shared" si="391"/>
        <v>0</v>
      </c>
      <c r="AJ35" s="866">
        <f t="shared" si="391"/>
        <v>0</v>
      </c>
      <c r="AK35" s="966">
        <f t="shared" si="391"/>
        <v>0</v>
      </c>
      <c r="AL35" s="866">
        <f t="shared" si="391"/>
        <v>0</v>
      </c>
      <c r="AM35" s="866">
        <f t="shared" ref="AM35:CX35" si="398">SUM(AM33:AM34)</f>
        <v>0</v>
      </c>
      <c r="AN35" s="856">
        <f t="shared" si="398"/>
        <v>8811636882.8799992</v>
      </c>
      <c r="AO35" s="849">
        <f t="shared" si="398"/>
        <v>2908651303.3099999</v>
      </c>
      <c r="AP35" s="857">
        <f t="shared" si="398"/>
        <v>18900000</v>
      </c>
      <c r="AQ35" s="877">
        <f t="shared" si="398"/>
        <v>0</v>
      </c>
      <c r="AR35" s="861">
        <f t="shared" si="398"/>
        <v>18900000</v>
      </c>
      <c r="AS35" s="857">
        <f t="shared" si="398"/>
        <v>0</v>
      </c>
      <c r="AT35" s="970">
        <f t="shared" si="398"/>
        <v>0</v>
      </c>
      <c r="AU35" s="864">
        <f t="shared" si="398"/>
        <v>0</v>
      </c>
      <c r="AV35" s="849">
        <f t="shared" si="398"/>
        <v>0</v>
      </c>
      <c r="AW35" s="864">
        <f t="shared" si="398"/>
        <v>0</v>
      </c>
      <c r="AX35" s="857">
        <f t="shared" si="398"/>
        <v>0</v>
      </c>
      <c r="AY35" s="970">
        <f t="shared" si="398"/>
        <v>0</v>
      </c>
      <c r="AZ35" s="862">
        <f t="shared" si="398"/>
        <v>0</v>
      </c>
      <c r="BA35" s="883">
        <f t="shared" si="398"/>
        <v>0</v>
      </c>
      <c r="BB35" s="862">
        <f t="shared" si="398"/>
        <v>0</v>
      </c>
      <c r="BC35" s="877">
        <f t="shared" si="398"/>
        <v>0</v>
      </c>
      <c r="BD35" s="862">
        <f t="shared" si="398"/>
        <v>0</v>
      </c>
      <c r="BE35" s="864">
        <f t="shared" si="398"/>
        <v>0</v>
      </c>
      <c r="BF35" s="862">
        <f t="shared" si="398"/>
        <v>0</v>
      </c>
      <c r="BG35" s="970">
        <f t="shared" si="398"/>
        <v>0</v>
      </c>
      <c r="BH35" s="942">
        <f t="shared" si="398"/>
        <v>52859325.390000001</v>
      </c>
      <c r="BI35" s="970">
        <f t="shared" si="398"/>
        <v>52859325.390000001</v>
      </c>
      <c r="BJ35" s="942">
        <f t="shared" si="398"/>
        <v>0</v>
      </c>
      <c r="BK35" s="971">
        <f t="shared" si="398"/>
        <v>0</v>
      </c>
      <c r="BL35" s="942">
        <f t="shared" si="398"/>
        <v>0</v>
      </c>
      <c r="BM35" s="970">
        <f t="shared" si="398"/>
        <v>0</v>
      </c>
      <c r="BN35" s="857">
        <f t="shared" si="398"/>
        <v>0</v>
      </c>
      <c r="BO35" s="970">
        <f t="shared" si="398"/>
        <v>0</v>
      </c>
      <c r="BP35" s="972">
        <f t="shared" si="398"/>
        <v>0</v>
      </c>
      <c r="BQ35" s="972">
        <f t="shared" si="398"/>
        <v>0</v>
      </c>
      <c r="BR35" s="972">
        <f t="shared" si="398"/>
        <v>0</v>
      </c>
      <c r="BS35" s="865">
        <f t="shared" si="398"/>
        <v>0</v>
      </c>
      <c r="BT35" s="857">
        <f t="shared" si="398"/>
        <v>0</v>
      </c>
      <c r="BU35" s="872">
        <f t="shared" si="398"/>
        <v>0</v>
      </c>
      <c r="BV35" s="943">
        <f t="shared" si="398"/>
        <v>0</v>
      </c>
      <c r="BW35" s="857">
        <f t="shared" si="398"/>
        <v>0</v>
      </c>
      <c r="BX35" s="966">
        <f t="shared" si="398"/>
        <v>0</v>
      </c>
      <c r="BY35" s="866">
        <f t="shared" si="398"/>
        <v>0</v>
      </c>
      <c r="BZ35" s="966">
        <f t="shared" si="398"/>
        <v>0</v>
      </c>
      <c r="CA35" s="866">
        <f t="shared" si="398"/>
        <v>0</v>
      </c>
      <c r="CB35" s="849">
        <f t="shared" ref="CB35:CG35" si="399">SUM(CB33:CB34)</f>
        <v>37759000</v>
      </c>
      <c r="CC35" s="864">
        <f t="shared" si="399"/>
        <v>37759000</v>
      </c>
      <c r="CD35" s="864">
        <f t="shared" si="399"/>
        <v>0</v>
      </c>
      <c r="CE35" s="857">
        <f t="shared" si="399"/>
        <v>0</v>
      </c>
      <c r="CF35" s="970">
        <f t="shared" si="399"/>
        <v>0</v>
      </c>
      <c r="CG35" s="970">
        <f t="shared" si="399"/>
        <v>0</v>
      </c>
      <c r="CH35" s="856">
        <f t="shared" si="398"/>
        <v>115116800</v>
      </c>
      <c r="CI35" s="857">
        <f t="shared" si="398"/>
        <v>0</v>
      </c>
      <c r="CJ35" s="849">
        <f t="shared" si="398"/>
        <v>0</v>
      </c>
      <c r="CK35" s="849">
        <f t="shared" si="398"/>
        <v>0</v>
      </c>
      <c r="CL35" s="873">
        <f t="shared" si="398"/>
        <v>0</v>
      </c>
      <c r="CM35" s="873">
        <f t="shared" si="398"/>
        <v>0</v>
      </c>
      <c r="CN35" s="873">
        <f t="shared" si="398"/>
        <v>0</v>
      </c>
      <c r="CO35" s="873">
        <f t="shared" si="398"/>
        <v>0</v>
      </c>
      <c r="CP35" s="849">
        <f t="shared" si="398"/>
        <v>25590065.600000001</v>
      </c>
      <c r="CQ35" s="864">
        <f t="shared" si="398"/>
        <v>25590065.600000001</v>
      </c>
      <c r="CR35" s="864">
        <f t="shared" si="398"/>
        <v>0</v>
      </c>
      <c r="CS35" s="857">
        <f t="shared" si="398"/>
        <v>0</v>
      </c>
      <c r="CT35" s="970">
        <f t="shared" si="398"/>
        <v>0</v>
      </c>
      <c r="CU35" s="970">
        <f t="shared" si="398"/>
        <v>0</v>
      </c>
      <c r="CV35" s="857">
        <f t="shared" si="398"/>
        <v>860245068.48000002</v>
      </c>
      <c r="CW35" s="970">
        <f t="shared" si="398"/>
        <v>1145900</v>
      </c>
      <c r="CX35" s="938">
        <f t="shared" si="398"/>
        <v>21770300</v>
      </c>
      <c r="CY35" s="970">
        <f>SUM(CY33:CY34)</f>
        <v>37815349</v>
      </c>
      <c r="CZ35" s="935">
        <f>SUM(CZ33:CZ34)</f>
        <v>720202200</v>
      </c>
      <c r="DA35" s="970">
        <f>SUM(DA33:DA34)</f>
        <v>3965576.2799999993</v>
      </c>
      <c r="DB35" s="935">
        <f>SUM(DB33:DB34)</f>
        <v>75345743.200000003</v>
      </c>
      <c r="DC35" s="857">
        <f t="shared" ref="DC35:DE35" si="400">SUM(DC33:DC34)</f>
        <v>214939211.68000001</v>
      </c>
      <c r="DD35" s="969">
        <f t="shared" si="400"/>
        <v>0</v>
      </c>
      <c r="DE35" s="973">
        <f t="shared" si="400"/>
        <v>0</v>
      </c>
      <c r="DF35" s="970">
        <f>SUM(DF33:DF34)</f>
        <v>7336291.7400000002</v>
      </c>
      <c r="DG35" s="935">
        <f>SUM(DG33:DG34)</f>
        <v>139394028.31</v>
      </c>
      <c r="DH35" s="970">
        <f>SUM(DH33:DH34)</f>
        <v>3410449.79</v>
      </c>
      <c r="DI35" s="935">
        <f>SUM(DI33:DI34)</f>
        <v>64798441.840000004</v>
      </c>
      <c r="DJ35" s="849">
        <f t="shared" ref="DJ35:EY35" si="401">SUM(DJ33:DJ34)</f>
        <v>0</v>
      </c>
      <c r="DK35" s="970">
        <f t="shared" si="401"/>
        <v>0</v>
      </c>
      <c r="DL35" s="938">
        <f t="shared" si="401"/>
        <v>0</v>
      </c>
      <c r="DM35" s="857">
        <f t="shared" si="401"/>
        <v>0</v>
      </c>
      <c r="DN35" s="970">
        <f t="shared" si="401"/>
        <v>0</v>
      </c>
      <c r="DO35" s="939">
        <f t="shared" si="401"/>
        <v>0</v>
      </c>
      <c r="DP35" s="867">
        <f t="shared" si="401"/>
        <v>0</v>
      </c>
      <c r="DQ35" s="866">
        <f t="shared" si="401"/>
        <v>0</v>
      </c>
      <c r="DR35" s="867">
        <f t="shared" si="401"/>
        <v>0</v>
      </c>
      <c r="DS35" s="866">
        <f t="shared" si="401"/>
        <v>0</v>
      </c>
      <c r="DT35" s="849">
        <f t="shared" si="401"/>
        <v>5400000</v>
      </c>
      <c r="DU35" s="874">
        <f t="shared" si="401"/>
        <v>2700000</v>
      </c>
      <c r="DV35" s="874">
        <f t="shared" si="401"/>
        <v>2700000</v>
      </c>
      <c r="DW35" s="861">
        <f t="shared" si="401"/>
        <v>0</v>
      </c>
      <c r="DX35" s="857">
        <f t="shared" si="401"/>
        <v>1800000</v>
      </c>
      <c r="DY35" s="765">
        <f t="shared" si="401"/>
        <v>450000</v>
      </c>
      <c r="DZ35" s="861">
        <f t="shared" si="401"/>
        <v>1350000</v>
      </c>
      <c r="EA35" s="861">
        <f t="shared" si="401"/>
        <v>0</v>
      </c>
      <c r="EB35" s="849">
        <f t="shared" si="401"/>
        <v>0</v>
      </c>
      <c r="EC35" s="970">
        <f t="shared" si="401"/>
        <v>0</v>
      </c>
      <c r="ED35" s="938">
        <f t="shared" si="401"/>
        <v>0</v>
      </c>
      <c r="EE35" s="857">
        <f t="shared" si="401"/>
        <v>0</v>
      </c>
      <c r="EF35" s="969">
        <f t="shared" si="401"/>
        <v>0</v>
      </c>
      <c r="EG35" s="935">
        <f t="shared" si="401"/>
        <v>0</v>
      </c>
      <c r="EH35" s="964">
        <f t="shared" si="401"/>
        <v>0</v>
      </c>
      <c r="EI35" s="883">
        <f t="shared" si="401"/>
        <v>0</v>
      </c>
      <c r="EJ35" s="876">
        <f t="shared" si="401"/>
        <v>0</v>
      </c>
      <c r="EK35" s="964">
        <f t="shared" si="401"/>
        <v>0</v>
      </c>
      <c r="EL35" s="971">
        <f t="shared" si="401"/>
        <v>0</v>
      </c>
      <c r="EM35" s="935">
        <f t="shared" si="401"/>
        <v>0</v>
      </c>
      <c r="EN35" s="849">
        <f t="shared" si="401"/>
        <v>1207687968.96</v>
      </c>
      <c r="EO35" s="970">
        <f t="shared" si="401"/>
        <v>319132705.80000001</v>
      </c>
      <c r="EP35" s="970">
        <f t="shared" si="401"/>
        <v>44427763.159999996</v>
      </c>
      <c r="EQ35" s="939">
        <f t="shared" si="401"/>
        <v>844127500</v>
      </c>
      <c r="ER35" s="849">
        <f t="shared" si="401"/>
        <v>422982866.41999996</v>
      </c>
      <c r="ES35" s="970">
        <f t="shared" si="401"/>
        <v>121024.36</v>
      </c>
      <c r="ET35" s="970">
        <f t="shared" si="401"/>
        <v>21143092.100000001</v>
      </c>
      <c r="EU35" s="939">
        <f t="shared" si="401"/>
        <v>401718749.95999998</v>
      </c>
      <c r="EV35" s="849">
        <f t="shared" si="401"/>
        <v>121175580</v>
      </c>
      <c r="EW35" s="970">
        <f t="shared" si="401"/>
        <v>6058780</v>
      </c>
      <c r="EX35" s="938">
        <f t="shared" si="401"/>
        <v>115116800</v>
      </c>
      <c r="EY35" s="857">
        <f t="shared" si="401"/>
        <v>109618863.97</v>
      </c>
      <c r="EZ35" s="970">
        <f t="shared" ref="EZ35:FA35" si="402">SUM(EZ33:EZ34)</f>
        <v>5480944.0999999996</v>
      </c>
      <c r="FA35" s="938">
        <f t="shared" si="402"/>
        <v>104137919.87</v>
      </c>
      <c r="FB35" s="849">
        <f t="shared" ref="FB35:HB35" si="403">SUM(FB33:FB34)</f>
        <v>19378391.170000002</v>
      </c>
      <c r="FC35" s="970">
        <f t="shared" si="403"/>
        <v>5058011.3800000027</v>
      </c>
      <c r="FD35" s="938">
        <f t="shared" si="403"/>
        <v>14320379.789999999</v>
      </c>
      <c r="FE35" s="857">
        <f t="shared" si="403"/>
        <v>0</v>
      </c>
      <c r="FF35" s="970">
        <f t="shared" si="403"/>
        <v>0</v>
      </c>
      <c r="FG35" s="939">
        <f t="shared" si="403"/>
        <v>0</v>
      </c>
      <c r="FH35" s="849">
        <f t="shared" si="403"/>
        <v>0</v>
      </c>
      <c r="FI35" s="970">
        <f t="shared" si="403"/>
        <v>0</v>
      </c>
      <c r="FJ35" s="938">
        <f t="shared" si="403"/>
        <v>0</v>
      </c>
      <c r="FK35" s="857">
        <f t="shared" si="403"/>
        <v>0</v>
      </c>
      <c r="FL35" s="970">
        <f t="shared" si="403"/>
        <v>0</v>
      </c>
      <c r="FM35" s="939">
        <f t="shared" si="403"/>
        <v>0</v>
      </c>
      <c r="FN35" s="873">
        <f t="shared" si="403"/>
        <v>0</v>
      </c>
      <c r="FO35" s="970">
        <f t="shared" si="403"/>
        <v>0</v>
      </c>
      <c r="FP35" s="938">
        <f t="shared" si="403"/>
        <v>0</v>
      </c>
      <c r="FQ35" s="862">
        <f t="shared" si="403"/>
        <v>0</v>
      </c>
      <c r="FR35" s="970">
        <f t="shared" si="403"/>
        <v>0</v>
      </c>
      <c r="FS35" s="939">
        <f t="shared" si="403"/>
        <v>0</v>
      </c>
      <c r="FT35" s="873">
        <f t="shared" si="403"/>
        <v>0</v>
      </c>
      <c r="FU35" s="970">
        <f t="shared" si="403"/>
        <v>0</v>
      </c>
      <c r="FV35" s="938">
        <f t="shared" si="403"/>
        <v>0</v>
      </c>
      <c r="FW35" s="862">
        <f t="shared" si="403"/>
        <v>0</v>
      </c>
      <c r="FX35" s="970">
        <f t="shared" si="403"/>
        <v>0</v>
      </c>
      <c r="FY35" s="939">
        <f t="shared" si="403"/>
        <v>0</v>
      </c>
      <c r="FZ35" s="849">
        <f t="shared" si="403"/>
        <v>0</v>
      </c>
      <c r="GA35" s="883">
        <f>SUM(GA33:GA34)</f>
        <v>0</v>
      </c>
      <c r="GB35" s="876">
        <f>SUM(GB33:GB34)</f>
        <v>0</v>
      </c>
      <c r="GC35" s="849">
        <f t="shared" ref="GC35" si="404">SUM(GC33:GC34)</f>
        <v>0</v>
      </c>
      <c r="GD35" s="971">
        <f>SUM(GD33:GD34)</f>
        <v>0</v>
      </c>
      <c r="GE35" s="935">
        <f>SUM(GE33:GE34)</f>
        <v>0</v>
      </c>
      <c r="GF35" s="849">
        <f t="shared" ref="GF35" si="405">SUM(GF33:GF34)</f>
        <v>0</v>
      </c>
      <c r="GG35" s="883">
        <f>SUM(GG33:GG34)</f>
        <v>0</v>
      </c>
      <c r="GH35" s="876">
        <f>SUM(GH33:GH34)</f>
        <v>0</v>
      </c>
      <c r="GI35" s="849">
        <f t="shared" ref="GI35" si="406">SUM(GI33:GI34)</f>
        <v>0</v>
      </c>
      <c r="GJ35" s="971">
        <f>SUM(GJ33:GJ34)</f>
        <v>0</v>
      </c>
      <c r="GK35" s="935">
        <f>SUM(GK33:GK34)</f>
        <v>0</v>
      </c>
      <c r="GL35" s="873">
        <f t="shared" ref="GL35" si="407">SUM(GL33:GL34)</f>
        <v>0</v>
      </c>
      <c r="GM35" s="883">
        <f>SUM(GM33:GM34)</f>
        <v>0</v>
      </c>
      <c r="GN35" s="876">
        <f>SUM(GN33:GN34)</f>
        <v>0</v>
      </c>
      <c r="GO35" s="873">
        <f t="shared" ref="GO35" si="408">SUM(GO33:GO34)</f>
        <v>0</v>
      </c>
      <c r="GP35" s="971">
        <f>SUM(GP33:GP34)</f>
        <v>0</v>
      </c>
      <c r="GQ35" s="935">
        <f>SUM(GQ33:GQ34)</f>
        <v>0</v>
      </c>
      <c r="GR35" s="873">
        <f t="shared" ref="GR35:GS35" si="409">SUM(GR33:GR34)</f>
        <v>0</v>
      </c>
      <c r="GS35" s="873">
        <f t="shared" si="409"/>
        <v>0</v>
      </c>
      <c r="GT35" s="873">
        <f t="shared" ref="GT35:GU35" si="410">SUM(GT33:GT34)</f>
        <v>0</v>
      </c>
      <c r="GU35" s="873">
        <f t="shared" si="410"/>
        <v>0</v>
      </c>
      <c r="GV35" s="849">
        <f t="shared" si="403"/>
        <v>1758989935.8899999</v>
      </c>
      <c r="GW35" s="861">
        <f t="shared" si="403"/>
        <v>13685959.390000001</v>
      </c>
      <c r="GX35" s="878">
        <f t="shared" si="403"/>
        <v>260033228.37</v>
      </c>
      <c r="GY35" s="864">
        <f>SUM(GY33:GY34)</f>
        <v>1485270748.1300001</v>
      </c>
      <c r="GZ35" s="849">
        <f t="shared" ref="GZ35" si="411">SUM(GZ33:GZ34)</f>
        <v>574558345.93999994</v>
      </c>
      <c r="HA35" s="926">
        <f t="shared" si="403"/>
        <v>7396800</v>
      </c>
      <c r="HB35" s="935">
        <f t="shared" si="403"/>
        <v>140539200</v>
      </c>
      <c r="HC35" s="864">
        <f>SUM(HC33:HC34)</f>
        <v>426622345.93999994</v>
      </c>
      <c r="HD35" s="873">
        <f t="shared" ref="HD35:HF35" si="412">SUM(HD33:HD34)</f>
        <v>0</v>
      </c>
      <c r="HE35" s="864">
        <f>SUM(HE33:HE34)</f>
        <v>0</v>
      </c>
      <c r="HF35" s="873">
        <f t="shared" si="412"/>
        <v>0</v>
      </c>
      <c r="HG35" s="864">
        <f>SUM(HG33:HG34)</f>
        <v>0</v>
      </c>
      <c r="HH35" s="873">
        <f t="shared" ref="HH35:KC35" si="413">SUM(HH33:HH34)</f>
        <v>0</v>
      </c>
      <c r="HI35" s="873">
        <f t="shared" si="413"/>
        <v>0</v>
      </c>
      <c r="HJ35" s="873">
        <f t="shared" si="413"/>
        <v>0</v>
      </c>
      <c r="HK35" s="873">
        <f t="shared" si="413"/>
        <v>0</v>
      </c>
      <c r="HL35" s="849">
        <f t="shared" si="413"/>
        <v>1478672773.1399999</v>
      </c>
      <c r="HM35" s="861">
        <f t="shared" si="413"/>
        <v>73933652.629999995</v>
      </c>
      <c r="HN35" s="878">
        <f t="shared" si="413"/>
        <v>1404739120.51</v>
      </c>
      <c r="HO35" s="857">
        <f t="shared" si="413"/>
        <v>602248163</v>
      </c>
      <c r="HP35" s="926">
        <f t="shared" si="413"/>
        <v>30112413.84</v>
      </c>
      <c r="HQ35" s="935">
        <f t="shared" si="413"/>
        <v>572135749.15999997</v>
      </c>
      <c r="HR35" s="849">
        <f t="shared" si="413"/>
        <v>8862344.3799999878</v>
      </c>
      <c r="HS35" s="861">
        <f t="shared" si="413"/>
        <v>8862344.3799999878</v>
      </c>
      <c r="HT35" s="878">
        <f t="shared" si="413"/>
        <v>0</v>
      </c>
      <c r="HU35" s="857">
        <f t="shared" si="413"/>
        <v>0</v>
      </c>
      <c r="HV35" s="926">
        <f t="shared" si="413"/>
        <v>0</v>
      </c>
      <c r="HW35" s="935">
        <f t="shared" si="413"/>
        <v>0</v>
      </c>
      <c r="HX35" s="849">
        <f t="shared" si="413"/>
        <v>0</v>
      </c>
      <c r="HY35" s="861">
        <f t="shared" si="413"/>
        <v>0</v>
      </c>
      <c r="HZ35" s="878">
        <f t="shared" si="413"/>
        <v>0</v>
      </c>
      <c r="IA35" s="857">
        <f t="shared" si="413"/>
        <v>0</v>
      </c>
      <c r="IB35" s="926">
        <f t="shared" si="413"/>
        <v>0</v>
      </c>
      <c r="IC35" s="935">
        <f t="shared" si="413"/>
        <v>0</v>
      </c>
      <c r="ID35" s="873">
        <f t="shared" si="413"/>
        <v>0</v>
      </c>
      <c r="IE35" s="970">
        <f t="shared" si="413"/>
        <v>0</v>
      </c>
      <c r="IF35" s="938">
        <f t="shared" si="413"/>
        <v>0</v>
      </c>
      <c r="IG35" s="862">
        <f t="shared" si="413"/>
        <v>0</v>
      </c>
      <c r="IH35" s="970">
        <f t="shared" si="413"/>
        <v>0</v>
      </c>
      <c r="II35" s="939">
        <f t="shared" si="413"/>
        <v>0</v>
      </c>
      <c r="IJ35" s="873">
        <f t="shared" si="413"/>
        <v>0</v>
      </c>
      <c r="IK35" s="970">
        <f t="shared" si="413"/>
        <v>0</v>
      </c>
      <c r="IL35" s="938">
        <f t="shared" si="413"/>
        <v>0</v>
      </c>
      <c r="IM35" s="862">
        <f t="shared" si="413"/>
        <v>0</v>
      </c>
      <c r="IN35" s="970">
        <f t="shared" si="413"/>
        <v>0</v>
      </c>
      <c r="IO35" s="939">
        <f t="shared" si="413"/>
        <v>0</v>
      </c>
      <c r="IP35" s="849">
        <f t="shared" si="413"/>
        <v>0</v>
      </c>
      <c r="IQ35" s="861">
        <f t="shared" si="413"/>
        <v>0</v>
      </c>
      <c r="IR35" s="878">
        <f t="shared" si="413"/>
        <v>0</v>
      </c>
      <c r="IS35" s="857">
        <f t="shared" si="413"/>
        <v>0</v>
      </c>
      <c r="IT35" s="926">
        <f t="shared" si="413"/>
        <v>0</v>
      </c>
      <c r="IU35" s="935">
        <f t="shared" si="413"/>
        <v>0</v>
      </c>
      <c r="IV35" s="1145">
        <f t="shared" ref="IV35:JA35" si="414">SUM(IV33:IV34)</f>
        <v>0</v>
      </c>
      <c r="IW35" s="861">
        <f t="shared" si="414"/>
        <v>0</v>
      </c>
      <c r="IX35" s="878">
        <f t="shared" si="414"/>
        <v>0</v>
      </c>
      <c r="IY35" s="1144">
        <f t="shared" si="414"/>
        <v>0</v>
      </c>
      <c r="IZ35" s="926">
        <f t="shared" si="414"/>
        <v>0</v>
      </c>
      <c r="JA35" s="935">
        <f t="shared" si="414"/>
        <v>0</v>
      </c>
      <c r="JB35" s="873">
        <f t="shared" ref="JB35:JE35" si="415">SUM(JB33:JB34)</f>
        <v>0</v>
      </c>
      <c r="JC35" s="862">
        <f t="shared" si="415"/>
        <v>0</v>
      </c>
      <c r="JD35" s="873">
        <f t="shared" si="415"/>
        <v>0</v>
      </c>
      <c r="JE35" s="862">
        <f t="shared" si="415"/>
        <v>0</v>
      </c>
      <c r="JF35" s="849">
        <f t="shared" si="413"/>
        <v>0</v>
      </c>
      <c r="JG35" s="861">
        <f t="shared" si="413"/>
        <v>0</v>
      </c>
      <c r="JH35" s="878">
        <f t="shared" si="413"/>
        <v>0</v>
      </c>
      <c r="JI35" s="857">
        <f t="shared" si="413"/>
        <v>0</v>
      </c>
      <c r="JJ35" s="926">
        <f t="shared" si="413"/>
        <v>0</v>
      </c>
      <c r="JK35" s="935">
        <f t="shared" si="413"/>
        <v>0</v>
      </c>
      <c r="JL35" s="849">
        <f t="shared" si="413"/>
        <v>3362567.57</v>
      </c>
      <c r="JM35" s="861">
        <f t="shared" si="413"/>
        <v>874267.56999999983</v>
      </c>
      <c r="JN35" s="878">
        <f t="shared" si="413"/>
        <v>2488300</v>
      </c>
      <c r="JO35" s="857">
        <f t="shared" si="413"/>
        <v>3362567.5700000003</v>
      </c>
      <c r="JP35" s="926">
        <f t="shared" si="413"/>
        <v>874267.58</v>
      </c>
      <c r="JQ35" s="935">
        <f t="shared" si="413"/>
        <v>2488299.9900000002</v>
      </c>
      <c r="JR35" s="856">
        <f t="shared" si="413"/>
        <v>0</v>
      </c>
      <c r="JS35" s="926">
        <f t="shared" si="413"/>
        <v>0</v>
      </c>
      <c r="JT35" s="935">
        <f t="shared" si="413"/>
        <v>0</v>
      </c>
      <c r="JU35" s="857">
        <f t="shared" si="413"/>
        <v>0</v>
      </c>
      <c r="JV35" s="874">
        <f t="shared" si="413"/>
        <v>0</v>
      </c>
      <c r="JW35" s="876">
        <f t="shared" si="413"/>
        <v>0</v>
      </c>
      <c r="JX35" s="857">
        <f t="shared" si="413"/>
        <v>0</v>
      </c>
      <c r="JY35" s="937">
        <f t="shared" si="413"/>
        <v>0</v>
      </c>
      <c r="JZ35" s="935">
        <f t="shared" si="413"/>
        <v>0</v>
      </c>
      <c r="KA35" s="857">
        <f t="shared" si="413"/>
        <v>0</v>
      </c>
      <c r="KB35" s="765">
        <f t="shared" si="413"/>
        <v>0</v>
      </c>
      <c r="KC35" s="935">
        <f t="shared" si="413"/>
        <v>0</v>
      </c>
      <c r="KD35" s="862">
        <f t="shared" ref="KD35:NN35" si="416">SUM(KD33:KD34)</f>
        <v>0</v>
      </c>
      <c r="KE35" s="925">
        <f t="shared" si="416"/>
        <v>0</v>
      </c>
      <c r="KF35" s="876">
        <f t="shared" si="416"/>
        <v>0</v>
      </c>
      <c r="KG35" s="885">
        <f t="shared" si="416"/>
        <v>0</v>
      </c>
      <c r="KH35" s="861">
        <f t="shared" si="416"/>
        <v>0</v>
      </c>
      <c r="KI35" s="938">
        <f t="shared" si="416"/>
        <v>0</v>
      </c>
      <c r="KJ35" s="862">
        <f t="shared" si="416"/>
        <v>0</v>
      </c>
      <c r="KK35" s="925">
        <f t="shared" si="416"/>
        <v>0</v>
      </c>
      <c r="KL35" s="876">
        <f t="shared" si="416"/>
        <v>0</v>
      </c>
      <c r="KM35" s="862">
        <f t="shared" si="416"/>
        <v>0</v>
      </c>
      <c r="KN35" s="874">
        <f t="shared" si="416"/>
        <v>0</v>
      </c>
      <c r="KO35" s="876">
        <f t="shared" si="416"/>
        <v>0</v>
      </c>
      <c r="KP35" s="857">
        <f t="shared" si="416"/>
        <v>10673306.01</v>
      </c>
      <c r="KQ35" s="970">
        <f>SUM(KQ33:KQ34)</f>
        <v>4592520</v>
      </c>
      <c r="KR35" s="939">
        <f>SUM(KR33:KR34)</f>
        <v>2714716.01</v>
      </c>
      <c r="KS35" s="765">
        <f>SUM(KS33:KS34)</f>
        <v>1223726.9400000002</v>
      </c>
      <c r="KT35" s="939">
        <f>SUM(KT33:KT34)</f>
        <v>2142343.06</v>
      </c>
      <c r="KU35" s="857">
        <f t="shared" ref="KU35" si="417">SUM(KU33:KU34)</f>
        <v>0</v>
      </c>
      <c r="KV35" s="970">
        <f>SUM(KV33:KV34)</f>
        <v>0</v>
      </c>
      <c r="KW35" s="939">
        <f>SUM(KW33:KW34)</f>
        <v>0</v>
      </c>
      <c r="KX35" s="970">
        <f>SUM(KX33:KX34)</f>
        <v>0</v>
      </c>
      <c r="KY35" s="939">
        <f>SUM(KY33:KY34)</f>
        <v>0</v>
      </c>
      <c r="KZ35" s="857">
        <f t="shared" ref="KZ35:LE35" si="418">SUM(KZ33:KZ34)</f>
        <v>0</v>
      </c>
      <c r="LA35" s="925">
        <f t="shared" si="418"/>
        <v>0</v>
      </c>
      <c r="LB35" s="935">
        <f t="shared" si="418"/>
        <v>0</v>
      </c>
      <c r="LC35" s="925">
        <f t="shared" si="418"/>
        <v>0</v>
      </c>
      <c r="LD35" s="935">
        <f t="shared" si="418"/>
        <v>0</v>
      </c>
      <c r="LE35" s="857">
        <f t="shared" si="418"/>
        <v>0</v>
      </c>
      <c r="LF35" s="970">
        <f>SUM(LF33:LF34)</f>
        <v>0</v>
      </c>
      <c r="LG35" s="939">
        <f>SUM(LG33:LG34)</f>
        <v>0</v>
      </c>
      <c r="LH35" s="970">
        <f>SUM(LH33:LH34)</f>
        <v>0</v>
      </c>
      <c r="LI35" s="939">
        <f>SUM(LI33:LI34)</f>
        <v>0</v>
      </c>
      <c r="LJ35" s="866">
        <f t="shared" ref="LJ35:LV35" si="419">SUM(LJ33:LJ34)</f>
        <v>0</v>
      </c>
      <c r="LK35" s="925">
        <f t="shared" si="419"/>
        <v>0</v>
      </c>
      <c r="LL35" s="935">
        <f t="shared" si="419"/>
        <v>0</v>
      </c>
      <c r="LM35" s="866">
        <f t="shared" si="419"/>
        <v>0</v>
      </c>
      <c r="LN35" s="925">
        <f t="shared" si="419"/>
        <v>0</v>
      </c>
      <c r="LO35" s="935">
        <f t="shared" si="419"/>
        <v>0</v>
      </c>
      <c r="LP35" s="968">
        <f t="shared" si="419"/>
        <v>0</v>
      </c>
      <c r="LQ35" s="861">
        <f t="shared" si="419"/>
        <v>0</v>
      </c>
      <c r="LR35" s="938">
        <f t="shared" si="419"/>
        <v>0</v>
      </c>
      <c r="LS35" s="866">
        <f t="shared" si="419"/>
        <v>0</v>
      </c>
      <c r="LT35" s="925">
        <f t="shared" si="419"/>
        <v>0</v>
      </c>
      <c r="LU35" s="876">
        <f t="shared" si="419"/>
        <v>0</v>
      </c>
      <c r="LV35" s="857">
        <f t="shared" si="419"/>
        <v>0</v>
      </c>
      <c r="LW35" s="970">
        <f>SUM(LW33:LW34)</f>
        <v>0</v>
      </c>
      <c r="LX35" s="970">
        <f>SUM(LX33:LX34)</f>
        <v>0</v>
      </c>
      <c r="LY35" s="939">
        <f>SUM(LY33:LY34)</f>
        <v>0</v>
      </c>
      <c r="LZ35" s="857">
        <f t="shared" ref="LZ35" si="420">SUM(LZ33:LZ34)</f>
        <v>0</v>
      </c>
      <c r="MA35" s="970">
        <f>SUM(MA33:MA34)</f>
        <v>0</v>
      </c>
      <c r="MB35" s="970">
        <f>SUM(MB33:MB34)</f>
        <v>0</v>
      </c>
      <c r="MC35" s="939">
        <f>SUM(MC33:MC34)</f>
        <v>0</v>
      </c>
      <c r="MD35" s="857">
        <f t="shared" ref="MD35" si="421">SUM(MD33:MD34)</f>
        <v>0</v>
      </c>
      <c r="ME35" s="970">
        <f>SUM(ME33:ME34)</f>
        <v>0</v>
      </c>
      <c r="MF35" s="970">
        <f>SUM(MF33:MF34)</f>
        <v>0</v>
      </c>
      <c r="MG35" s="939">
        <f>SUM(MG33:MG34)</f>
        <v>0</v>
      </c>
      <c r="MH35" s="857">
        <f t="shared" ref="MH35" si="422">SUM(MH33:MH34)</f>
        <v>0</v>
      </c>
      <c r="MI35" s="970">
        <f>SUM(MI33:MI34)</f>
        <v>0</v>
      </c>
      <c r="MJ35" s="970">
        <f t="shared" ref="MJ35:ML35" si="423">SUM(MJ33:MJ34)</f>
        <v>0</v>
      </c>
      <c r="MK35" s="939">
        <f t="shared" si="423"/>
        <v>0</v>
      </c>
      <c r="ML35" s="862">
        <f t="shared" si="423"/>
        <v>0</v>
      </c>
      <c r="MM35" s="970">
        <f>SUM(MM33:MM34)</f>
        <v>0</v>
      </c>
      <c r="MN35" s="970">
        <f>SUM(MN33:MN34)</f>
        <v>0</v>
      </c>
      <c r="MO35" s="939">
        <f>SUM(MO33:MO34)</f>
        <v>0</v>
      </c>
      <c r="MP35" s="862">
        <f t="shared" ref="MP35" si="424">SUM(MP33:MP34)</f>
        <v>0</v>
      </c>
      <c r="MQ35" s="970">
        <f>SUM(MQ33:MQ34)</f>
        <v>0</v>
      </c>
      <c r="MR35" s="970">
        <f>SUM(MR33:MR34)</f>
        <v>0</v>
      </c>
      <c r="MS35" s="939">
        <f>SUM(MS33:MS34)</f>
        <v>0</v>
      </c>
      <c r="MT35" s="862">
        <f t="shared" ref="MT35" si="425">SUM(MT33:MT34)</f>
        <v>0</v>
      </c>
      <c r="MU35" s="970">
        <f>SUM(MU33:MU34)</f>
        <v>0</v>
      </c>
      <c r="MV35" s="970">
        <f>SUM(MV33:MV34)</f>
        <v>0</v>
      </c>
      <c r="MW35" s="939">
        <f>SUM(MW33:MW34)</f>
        <v>0</v>
      </c>
      <c r="MX35" s="862">
        <f t="shared" ref="MX35" si="426">SUM(MX33:MX34)</f>
        <v>0</v>
      </c>
      <c r="MY35" s="970">
        <f>SUM(MY33:MY34)</f>
        <v>0</v>
      </c>
      <c r="MZ35" s="970">
        <f>SUM(MZ33:MZ34)</f>
        <v>0</v>
      </c>
      <c r="NA35" s="939">
        <f>SUM(NA33:NA34)</f>
        <v>0</v>
      </c>
      <c r="NB35" s="941">
        <f t="shared" si="416"/>
        <v>1650785.01</v>
      </c>
      <c r="NC35" s="970">
        <f t="shared" si="416"/>
        <v>0</v>
      </c>
      <c r="ND35" s="939">
        <f t="shared" si="416"/>
        <v>0</v>
      </c>
      <c r="NE35" s="861">
        <f t="shared" si="416"/>
        <v>0</v>
      </c>
      <c r="NF35" s="879">
        <f t="shared" si="416"/>
        <v>0</v>
      </c>
      <c r="NG35" s="937">
        <f t="shared" si="416"/>
        <v>0</v>
      </c>
      <c r="NH35" s="765">
        <f t="shared" si="416"/>
        <v>429204.09</v>
      </c>
      <c r="NI35" s="973">
        <f t="shared" si="416"/>
        <v>1221580.92</v>
      </c>
      <c r="NJ35" s="942">
        <f t="shared" si="416"/>
        <v>1128414.1000000001</v>
      </c>
      <c r="NK35" s="970">
        <f t="shared" si="416"/>
        <v>0</v>
      </c>
      <c r="NL35" s="939">
        <f t="shared" si="416"/>
        <v>0</v>
      </c>
      <c r="NM35" s="926">
        <f t="shared" si="416"/>
        <v>0</v>
      </c>
      <c r="NN35" s="935">
        <f t="shared" si="416"/>
        <v>0</v>
      </c>
      <c r="NO35" s="970">
        <f t="shared" ref="NO35:PZ35" si="427">SUM(NO33:NO34)</f>
        <v>0</v>
      </c>
      <c r="NP35" s="970">
        <f t="shared" si="427"/>
        <v>293387.67</v>
      </c>
      <c r="NQ35" s="935">
        <f t="shared" si="427"/>
        <v>835026.43</v>
      </c>
      <c r="NR35" s="857">
        <f t="shared" si="427"/>
        <v>0</v>
      </c>
      <c r="NS35" s="765">
        <f t="shared" si="427"/>
        <v>0</v>
      </c>
      <c r="NT35" s="938">
        <f t="shared" si="427"/>
        <v>0</v>
      </c>
      <c r="NU35" s="857">
        <f t="shared" si="427"/>
        <v>0</v>
      </c>
      <c r="NV35" s="969">
        <f t="shared" si="427"/>
        <v>0</v>
      </c>
      <c r="NW35" s="935">
        <f t="shared" si="427"/>
        <v>0</v>
      </c>
      <c r="NX35" s="862">
        <f t="shared" si="427"/>
        <v>0</v>
      </c>
      <c r="NY35" s="926">
        <f t="shared" si="427"/>
        <v>0</v>
      </c>
      <c r="NZ35" s="876">
        <f t="shared" si="427"/>
        <v>0</v>
      </c>
      <c r="OA35" s="862">
        <f t="shared" si="427"/>
        <v>0</v>
      </c>
      <c r="OB35" s="861">
        <f t="shared" si="427"/>
        <v>0</v>
      </c>
      <c r="OC35" s="938">
        <f t="shared" si="427"/>
        <v>0</v>
      </c>
      <c r="OD35" s="862">
        <f t="shared" si="427"/>
        <v>0</v>
      </c>
      <c r="OE35" s="861">
        <f t="shared" si="427"/>
        <v>0</v>
      </c>
      <c r="OF35" s="938">
        <f t="shared" si="427"/>
        <v>0</v>
      </c>
      <c r="OG35" s="862">
        <f t="shared" si="427"/>
        <v>0</v>
      </c>
      <c r="OH35" s="861">
        <f t="shared" si="427"/>
        <v>0</v>
      </c>
      <c r="OI35" s="935">
        <f t="shared" si="427"/>
        <v>0</v>
      </c>
      <c r="OJ35" s="943">
        <f t="shared" si="427"/>
        <v>0</v>
      </c>
      <c r="OK35" s="864">
        <f>SUM(OK33:OK34)</f>
        <v>0</v>
      </c>
      <c r="OL35" s="938">
        <f t="shared" si="427"/>
        <v>0</v>
      </c>
      <c r="OM35" s="883">
        <f>SUM(OM33:OM34)</f>
        <v>0</v>
      </c>
      <c r="ON35" s="942">
        <f t="shared" ref="ON35" si="428">SUM(ON33:ON34)</f>
        <v>0</v>
      </c>
      <c r="OO35" s="864">
        <f t="shared" si="427"/>
        <v>0</v>
      </c>
      <c r="OP35" s="935">
        <f t="shared" si="427"/>
        <v>0</v>
      </c>
      <c r="OQ35" s="864">
        <f t="shared" si="427"/>
        <v>0</v>
      </c>
      <c r="OR35" s="857">
        <f t="shared" si="427"/>
        <v>368867921.07999998</v>
      </c>
      <c r="OS35" s="925">
        <f t="shared" si="427"/>
        <v>8862344.3799999878</v>
      </c>
      <c r="OT35" s="876">
        <f t="shared" si="427"/>
        <v>168384500</v>
      </c>
      <c r="OU35" s="765">
        <f t="shared" si="427"/>
        <v>191621076.69999999</v>
      </c>
      <c r="OV35" s="857">
        <f t="shared" si="427"/>
        <v>94100399.439999998</v>
      </c>
      <c r="OW35" s="925">
        <f t="shared" si="427"/>
        <v>2984586.39</v>
      </c>
      <c r="OX35" s="876">
        <f t="shared" si="427"/>
        <v>56707126.899999999</v>
      </c>
      <c r="OY35" s="765">
        <f t="shared" si="427"/>
        <v>34408686.149999999</v>
      </c>
      <c r="OZ35" s="857">
        <f t="shared" si="427"/>
        <v>0</v>
      </c>
      <c r="PA35" s="861">
        <f t="shared" si="427"/>
        <v>0</v>
      </c>
      <c r="PB35" s="938">
        <f t="shared" si="427"/>
        <v>0</v>
      </c>
      <c r="PC35" s="765">
        <f t="shared" si="427"/>
        <v>0</v>
      </c>
      <c r="PD35" s="856">
        <f t="shared" si="427"/>
        <v>0</v>
      </c>
      <c r="PE35" s="861">
        <f t="shared" si="427"/>
        <v>0</v>
      </c>
      <c r="PF35" s="878">
        <f t="shared" si="427"/>
        <v>0</v>
      </c>
      <c r="PG35" s="765">
        <f t="shared" si="427"/>
        <v>0</v>
      </c>
      <c r="PH35" s="866">
        <f t="shared" si="427"/>
        <v>0</v>
      </c>
      <c r="PI35" s="925">
        <f t="shared" si="427"/>
        <v>0</v>
      </c>
      <c r="PJ35" s="935">
        <f t="shared" si="427"/>
        <v>0</v>
      </c>
      <c r="PK35" s="765">
        <f t="shared" si="427"/>
        <v>0</v>
      </c>
      <c r="PL35" s="866">
        <f t="shared" si="427"/>
        <v>0</v>
      </c>
      <c r="PM35" s="925">
        <f t="shared" si="427"/>
        <v>0</v>
      </c>
      <c r="PN35" s="935">
        <f t="shared" si="427"/>
        <v>0</v>
      </c>
      <c r="PO35" s="765">
        <f t="shared" si="427"/>
        <v>0</v>
      </c>
      <c r="PP35" s="968">
        <f t="shared" si="427"/>
        <v>0</v>
      </c>
      <c r="PQ35" s="861">
        <f t="shared" si="427"/>
        <v>0</v>
      </c>
      <c r="PR35" s="938">
        <f t="shared" si="427"/>
        <v>0</v>
      </c>
      <c r="PS35" s="765">
        <f t="shared" si="427"/>
        <v>0</v>
      </c>
      <c r="PT35" s="866">
        <f t="shared" si="427"/>
        <v>0</v>
      </c>
      <c r="PU35" s="925">
        <f t="shared" si="427"/>
        <v>0</v>
      </c>
      <c r="PV35" s="876">
        <f t="shared" si="427"/>
        <v>0</v>
      </c>
      <c r="PW35" s="765">
        <f t="shared" si="427"/>
        <v>0</v>
      </c>
      <c r="PX35" s="942">
        <f t="shared" si="427"/>
        <v>0</v>
      </c>
      <c r="PY35" s="970">
        <f t="shared" si="427"/>
        <v>0</v>
      </c>
      <c r="PZ35" s="939">
        <f t="shared" si="427"/>
        <v>0</v>
      </c>
      <c r="QA35" s="970">
        <f t="shared" ref="QA35:QB35" si="429">SUM(QA33:QA34)</f>
        <v>0</v>
      </c>
      <c r="QB35" s="939">
        <f t="shared" si="429"/>
        <v>0</v>
      </c>
      <c r="QC35" s="942">
        <f t="shared" ref="QC35:SP35" si="430">SUM(QC33:QC34)</f>
        <v>0</v>
      </c>
      <c r="QD35" s="970">
        <f t="shared" si="430"/>
        <v>0</v>
      </c>
      <c r="QE35" s="939">
        <f t="shared" si="430"/>
        <v>0</v>
      </c>
      <c r="QF35" s="970">
        <f t="shared" ref="QF35:QG35" si="431">SUM(QF33:QF34)</f>
        <v>0</v>
      </c>
      <c r="QG35" s="939">
        <f t="shared" si="431"/>
        <v>0</v>
      </c>
      <c r="QH35" s="942">
        <f t="shared" si="430"/>
        <v>0</v>
      </c>
      <c r="QI35" s="970">
        <f t="shared" si="430"/>
        <v>0</v>
      </c>
      <c r="QJ35" s="939">
        <f t="shared" si="430"/>
        <v>0</v>
      </c>
      <c r="QK35" s="942">
        <f t="shared" si="430"/>
        <v>0</v>
      </c>
      <c r="QL35" s="970">
        <f t="shared" si="430"/>
        <v>0</v>
      </c>
      <c r="QM35" s="939">
        <f t="shared" si="430"/>
        <v>0</v>
      </c>
      <c r="QN35" s="967">
        <f t="shared" si="430"/>
        <v>0</v>
      </c>
      <c r="QO35" s="970">
        <f t="shared" si="430"/>
        <v>0</v>
      </c>
      <c r="QP35" s="939">
        <f t="shared" si="430"/>
        <v>0</v>
      </c>
      <c r="QQ35" s="967">
        <f t="shared" si="430"/>
        <v>0</v>
      </c>
      <c r="QR35" s="970">
        <f t="shared" si="430"/>
        <v>0</v>
      </c>
      <c r="QS35" s="939">
        <f t="shared" si="430"/>
        <v>0</v>
      </c>
      <c r="QT35" s="862">
        <f t="shared" si="430"/>
        <v>0</v>
      </c>
      <c r="QU35" s="970">
        <f t="shared" si="430"/>
        <v>0</v>
      </c>
      <c r="QV35" s="939">
        <f t="shared" si="430"/>
        <v>0</v>
      </c>
      <c r="QW35" s="967">
        <f t="shared" si="430"/>
        <v>0</v>
      </c>
      <c r="QX35" s="970">
        <f t="shared" si="430"/>
        <v>0</v>
      </c>
      <c r="QY35" s="939">
        <f t="shared" si="430"/>
        <v>0</v>
      </c>
      <c r="QZ35" s="849">
        <f t="shared" si="430"/>
        <v>6974526.3200000003</v>
      </c>
      <c r="RA35" s="861">
        <f t="shared" si="430"/>
        <v>348726.3200000003</v>
      </c>
      <c r="RB35" s="878">
        <f t="shared" si="430"/>
        <v>6625800</v>
      </c>
      <c r="RC35" s="857">
        <f t="shared" si="430"/>
        <v>1639838.96</v>
      </c>
      <c r="RD35" s="926">
        <f t="shared" si="430"/>
        <v>81991.95</v>
      </c>
      <c r="RE35" s="935">
        <f t="shared" si="430"/>
        <v>1557847.01</v>
      </c>
      <c r="RF35" s="849">
        <f t="shared" si="430"/>
        <v>0</v>
      </c>
      <c r="RG35" s="861">
        <f t="shared" si="430"/>
        <v>0</v>
      </c>
      <c r="RH35" s="878">
        <f t="shared" si="430"/>
        <v>0</v>
      </c>
      <c r="RI35" s="857">
        <f t="shared" si="430"/>
        <v>0</v>
      </c>
      <c r="RJ35" s="926">
        <f t="shared" si="430"/>
        <v>0</v>
      </c>
      <c r="RK35" s="935">
        <f t="shared" si="430"/>
        <v>0</v>
      </c>
      <c r="RL35" s="849">
        <f t="shared" si="430"/>
        <v>0</v>
      </c>
      <c r="RM35" s="861">
        <f t="shared" si="430"/>
        <v>0</v>
      </c>
      <c r="RN35" s="878">
        <f t="shared" si="430"/>
        <v>0</v>
      </c>
      <c r="RO35" s="857">
        <f t="shared" si="430"/>
        <v>0</v>
      </c>
      <c r="RP35" s="926">
        <f t="shared" si="430"/>
        <v>0</v>
      </c>
      <c r="RQ35" s="935">
        <f t="shared" si="430"/>
        <v>0</v>
      </c>
      <c r="RR35" s="873">
        <f t="shared" si="430"/>
        <v>0</v>
      </c>
      <c r="RS35" s="861">
        <f t="shared" si="430"/>
        <v>0</v>
      </c>
      <c r="RT35" s="878">
        <f t="shared" si="430"/>
        <v>0</v>
      </c>
      <c r="RU35" s="862">
        <f t="shared" si="430"/>
        <v>0</v>
      </c>
      <c r="RV35" s="926">
        <f t="shared" si="430"/>
        <v>0</v>
      </c>
      <c r="RW35" s="935">
        <f t="shared" si="430"/>
        <v>0</v>
      </c>
      <c r="RX35" s="873">
        <f t="shared" si="430"/>
        <v>0</v>
      </c>
      <c r="RY35" s="861">
        <f t="shared" si="430"/>
        <v>0</v>
      </c>
      <c r="RZ35" s="878">
        <f t="shared" si="430"/>
        <v>0</v>
      </c>
      <c r="SA35" s="862">
        <f t="shared" si="430"/>
        <v>0</v>
      </c>
      <c r="SB35" s="926">
        <f t="shared" si="430"/>
        <v>0</v>
      </c>
      <c r="SC35" s="935">
        <f t="shared" si="430"/>
        <v>0</v>
      </c>
      <c r="SD35" s="849">
        <f t="shared" si="430"/>
        <v>0</v>
      </c>
      <c r="SE35" s="971">
        <f t="shared" si="430"/>
        <v>0</v>
      </c>
      <c r="SF35" s="876">
        <f t="shared" si="430"/>
        <v>0</v>
      </c>
      <c r="SG35" s="857">
        <f t="shared" si="430"/>
        <v>0</v>
      </c>
      <c r="SH35" s="969">
        <f t="shared" si="430"/>
        <v>0</v>
      </c>
      <c r="SI35" s="935">
        <f t="shared" si="430"/>
        <v>0</v>
      </c>
      <c r="SJ35" s="857">
        <f t="shared" si="430"/>
        <v>756325530.1400001</v>
      </c>
      <c r="SK35" s="970">
        <f t="shared" si="430"/>
        <v>211846070.68000001</v>
      </c>
      <c r="SL35" s="970">
        <f t="shared" si="430"/>
        <v>141564659.46000004</v>
      </c>
      <c r="SM35" s="935">
        <f t="shared" si="430"/>
        <v>402914800</v>
      </c>
      <c r="SN35" s="857">
        <f t="shared" si="430"/>
        <v>359343159.71999997</v>
      </c>
      <c r="SO35" s="970">
        <f t="shared" si="430"/>
        <v>33305116.539999999</v>
      </c>
      <c r="SP35" s="969">
        <f t="shared" si="430"/>
        <v>84769891.230000004</v>
      </c>
      <c r="SQ35" s="935">
        <f t="shared" ref="SQ35:TZ35" si="432">SUM(SQ33:SQ34)</f>
        <v>241268151.94999999</v>
      </c>
      <c r="SR35" s="849">
        <f t="shared" si="432"/>
        <v>0</v>
      </c>
      <c r="SS35" s="970">
        <f t="shared" si="432"/>
        <v>0</v>
      </c>
      <c r="ST35" s="938">
        <f t="shared" si="432"/>
        <v>0</v>
      </c>
      <c r="SU35" s="857">
        <f t="shared" si="432"/>
        <v>0</v>
      </c>
      <c r="SV35" s="969">
        <f t="shared" si="432"/>
        <v>0</v>
      </c>
      <c r="SW35" s="935">
        <f t="shared" si="432"/>
        <v>0</v>
      </c>
      <c r="SX35" s="857">
        <f t="shared" si="432"/>
        <v>13685959.390000001</v>
      </c>
      <c r="SY35" s="970">
        <f t="shared" si="432"/>
        <v>0</v>
      </c>
      <c r="SZ35" s="939">
        <f t="shared" si="432"/>
        <v>0</v>
      </c>
      <c r="TA35" s="969">
        <f t="shared" si="432"/>
        <v>0</v>
      </c>
      <c r="TB35" s="876">
        <f t="shared" si="432"/>
        <v>0</v>
      </c>
      <c r="TC35" s="969">
        <f t="shared" si="432"/>
        <v>13685959.390000001</v>
      </c>
      <c r="TD35" s="876">
        <f t="shared" si="432"/>
        <v>0</v>
      </c>
      <c r="TE35" s="857">
        <f t="shared" si="432"/>
        <v>0</v>
      </c>
      <c r="TF35" s="970">
        <f t="shared" si="432"/>
        <v>0</v>
      </c>
      <c r="TG35" s="939">
        <f t="shared" si="432"/>
        <v>0</v>
      </c>
      <c r="TH35" s="970">
        <f t="shared" si="432"/>
        <v>0</v>
      </c>
      <c r="TI35" s="939">
        <f t="shared" si="432"/>
        <v>0</v>
      </c>
      <c r="TJ35" s="970">
        <f t="shared" si="432"/>
        <v>0</v>
      </c>
      <c r="TK35" s="935">
        <f t="shared" si="432"/>
        <v>0</v>
      </c>
      <c r="TL35" s="942">
        <f t="shared" si="432"/>
        <v>0</v>
      </c>
      <c r="TM35" s="970">
        <f t="shared" si="432"/>
        <v>0</v>
      </c>
      <c r="TN35" s="939">
        <f t="shared" si="432"/>
        <v>0</v>
      </c>
      <c r="TO35" s="970">
        <f t="shared" si="432"/>
        <v>0</v>
      </c>
      <c r="TP35" s="939">
        <f t="shared" si="432"/>
        <v>0</v>
      </c>
      <c r="TQ35" s="970">
        <f t="shared" si="432"/>
        <v>0</v>
      </c>
      <c r="TR35" s="939">
        <f t="shared" si="432"/>
        <v>0</v>
      </c>
      <c r="TS35" s="964">
        <f t="shared" si="432"/>
        <v>0</v>
      </c>
      <c r="TT35" s="970">
        <f t="shared" si="432"/>
        <v>0</v>
      </c>
      <c r="TU35" s="939">
        <f t="shared" si="432"/>
        <v>0</v>
      </c>
      <c r="TV35" s="970">
        <f t="shared" si="432"/>
        <v>0</v>
      </c>
      <c r="TW35" s="939">
        <f t="shared" si="432"/>
        <v>0</v>
      </c>
      <c r="TX35" s="970">
        <f t="shared" si="432"/>
        <v>0</v>
      </c>
      <c r="TY35" s="939">
        <f t="shared" si="432"/>
        <v>0</v>
      </c>
      <c r="TZ35" s="974">
        <f t="shared" si="432"/>
        <v>0</v>
      </c>
      <c r="UA35" s="970">
        <f>SUM(UA33:UA34)</f>
        <v>0</v>
      </c>
      <c r="UB35" s="939">
        <f>SUM(UB33:UB34)</f>
        <v>0</v>
      </c>
      <c r="UC35" s="970">
        <f t="shared" ref="UC35:UD35" si="433">SUM(UC33:UC34)</f>
        <v>0</v>
      </c>
      <c r="UD35" s="939">
        <f t="shared" si="433"/>
        <v>0</v>
      </c>
      <c r="UE35" s="970">
        <f>SUM(UE33:UE34)</f>
        <v>0</v>
      </c>
      <c r="UF35" s="939">
        <f>SUM(UF33:UF34)</f>
        <v>0</v>
      </c>
      <c r="UG35" s="974">
        <f t="shared" ref="UG35" si="434">SUM(UG33:UG34)</f>
        <v>0</v>
      </c>
      <c r="UH35" s="970">
        <f>SUM(UH33:UH34)</f>
        <v>0</v>
      </c>
      <c r="UI35" s="939">
        <f>SUM(UI33:UI34)</f>
        <v>0</v>
      </c>
      <c r="UJ35" s="970">
        <f t="shared" ref="UJ35:WU35" si="435">SUM(UJ33:UJ34)</f>
        <v>0</v>
      </c>
      <c r="UK35" s="939">
        <f t="shared" si="435"/>
        <v>0</v>
      </c>
      <c r="UL35" s="970">
        <f t="shared" si="435"/>
        <v>0</v>
      </c>
      <c r="UM35" s="939">
        <f t="shared" si="435"/>
        <v>0</v>
      </c>
      <c r="UN35" s="862">
        <f t="shared" si="435"/>
        <v>0</v>
      </c>
      <c r="UO35" s="970">
        <f t="shared" si="435"/>
        <v>0</v>
      </c>
      <c r="UP35" s="939">
        <f t="shared" si="435"/>
        <v>0</v>
      </c>
      <c r="UQ35" s="970">
        <f>SUM(UQ33:UQ34)</f>
        <v>0</v>
      </c>
      <c r="UR35" s="939">
        <f>SUM(UR33:UR34)</f>
        <v>0</v>
      </c>
      <c r="US35" s="969">
        <f t="shared" si="435"/>
        <v>0</v>
      </c>
      <c r="UT35" s="876">
        <f t="shared" si="435"/>
        <v>0</v>
      </c>
      <c r="UU35" s="974">
        <f t="shared" si="435"/>
        <v>0</v>
      </c>
      <c r="UV35" s="970">
        <f t="shared" si="435"/>
        <v>0</v>
      </c>
      <c r="UW35" s="939">
        <f t="shared" si="435"/>
        <v>0</v>
      </c>
      <c r="UX35" s="970">
        <f t="shared" si="435"/>
        <v>0</v>
      </c>
      <c r="UY35" s="939">
        <f t="shared" si="435"/>
        <v>0</v>
      </c>
      <c r="UZ35" s="970">
        <f t="shared" si="435"/>
        <v>0</v>
      </c>
      <c r="VA35" s="939">
        <f t="shared" si="435"/>
        <v>0</v>
      </c>
      <c r="VB35" s="857">
        <f t="shared" si="435"/>
        <v>1939459034.3500001</v>
      </c>
      <c r="VC35" s="857">
        <f t="shared" si="435"/>
        <v>522929472.51000005</v>
      </c>
      <c r="VD35" s="857">
        <f t="shared" si="435"/>
        <v>0</v>
      </c>
      <c r="VE35" s="857">
        <f t="shared" si="435"/>
        <v>0</v>
      </c>
      <c r="VF35" s="966">
        <f t="shared" si="435"/>
        <v>0</v>
      </c>
      <c r="VG35" s="972">
        <f t="shared" si="435"/>
        <v>0</v>
      </c>
      <c r="VH35" s="966">
        <f t="shared" si="435"/>
        <v>0</v>
      </c>
      <c r="VI35" s="972">
        <f t="shared" si="435"/>
        <v>0</v>
      </c>
      <c r="VJ35" s="857">
        <f t="shared" si="435"/>
        <v>8357986225.0400009</v>
      </c>
      <c r="VK35" s="969">
        <f t="shared" si="435"/>
        <v>8097662465.5200005</v>
      </c>
      <c r="VL35" s="970">
        <f t="shared" si="435"/>
        <v>260323759.52000001</v>
      </c>
      <c r="VM35" s="857">
        <f t="shared" si="435"/>
        <v>4578427458.4899998</v>
      </c>
      <c r="VN35" s="877">
        <f t="shared" si="435"/>
        <v>4440156282.4899998</v>
      </c>
      <c r="VO35" s="883">
        <f t="shared" si="435"/>
        <v>138271176</v>
      </c>
      <c r="VP35" s="857">
        <f t="shared" si="435"/>
        <v>7856190010.2799997</v>
      </c>
      <c r="VQ35" s="856">
        <f t="shared" si="435"/>
        <v>4312662957.79</v>
      </c>
      <c r="VR35" s="857">
        <f t="shared" si="435"/>
        <v>149755245</v>
      </c>
      <c r="VS35" s="856">
        <f t="shared" si="435"/>
        <v>78300000</v>
      </c>
      <c r="VT35" s="857">
        <f t="shared" si="435"/>
        <v>0</v>
      </c>
      <c r="VU35" s="856">
        <f t="shared" si="435"/>
        <v>0</v>
      </c>
      <c r="VV35" s="857">
        <f t="shared" si="435"/>
        <v>0</v>
      </c>
      <c r="VW35" s="856">
        <f t="shared" si="435"/>
        <v>0</v>
      </c>
      <c r="VX35" s="849">
        <f t="shared" si="435"/>
        <v>63100</v>
      </c>
      <c r="VY35" s="857">
        <f t="shared" si="435"/>
        <v>0</v>
      </c>
      <c r="VZ35" s="856">
        <f t="shared" si="435"/>
        <v>0</v>
      </c>
      <c r="WA35" s="857">
        <f t="shared" si="435"/>
        <v>0</v>
      </c>
      <c r="WB35" s="856">
        <f t="shared" si="435"/>
        <v>0</v>
      </c>
      <c r="WC35" s="857">
        <f t="shared" si="435"/>
        <v>0</v>
      </c>
      <c r="WD35" s="872">
        <f t="shared" si="435"/>
        <v>7674600</v>
      </c>
      <c r="WE35" s="856">
        <f t="shared" si="435"/>
        <v>3105098</v>
      </c>
      <c r="WF35" s="857">
        <f t="shared" si="435"/>
        <v>339825756.09999996</v>
      </c>
      <c r="WG35" s="925">
        <f>SUM(WG33:WG34)</f>
        <v>88354696.579999983</v>
      </c>
      <c r="WH35" s="876">
        <f>SUM(WH33:WH34)</f>
        <v>251471059.52000001</v>
      </c>
      <c r="WI35" s="942">
        <f t="shared" ref="WI35" si="436">SUM(WI33:WI34)</f>
        <v>181797402.70000002</v>
      </c>
      <c r="WJ35" s="861">
        <f>SUM(WJ33:WJ34)</f>
        <v>47267324.700000003</v>
      </c>
      <c r="WK35" s="938">
        <f>SUM(WK33:WK34)</f>
        <v>134530078</v>
      </c>
      <c r="WL35" s="857">
        <f t="shared" ref="WL35" si="437">SUM(WL33:WL34)</f>
        <v>4477513.66</v>
      </c>
      <c r="WM35" s="883">
        <f t="shared" si="435"/>
        <v>3362513.66</v>
      </c>
      <c r="WN35" s="876">
        <f t="shared" si="435"/>
        <v>1115000</v>
      </c>
      <c r="WO35" s="857">
        <f t="shared" si="435"/>
        <v>2562000</v>
      </c>
      <c r="WP35" s="861">
        <f>SUM(WP33:WP34)</f>
        <v>1926000</v>
      </c>
      <c r="WQ35" s="938">
        <f>SUM(WQ33:WQ34)</f>
        <v>636000</v>
      </c>
      <c r="WR35" s="857">
        <f t="shared" ref="WR35:WS35" si="438">SUM(WR33:WR34)</f>
        <v>1259574811.71</v>
      </c>
      <c r="WS35" s="857">
        <f t="shared" si="438"/>
        <v>458357296.07000005</v>
      </c>
      <c r="WT35" s="857">
        <f t="shared" si="435"/>
        <v>96014740</v>
      </c>
      <c r="WU35" s="883">
        <f t="shared" si="435"/>
        <v>4800739.34</v>
      </c>
      <c r="WV35" s="876">
        <f t="shared" ref="WV35:ZF35" si="439">SUM(WV33:WV34)</f>
        <v>91214000.659999996</v>
      </c>
      <c r="WW35" s="857">
        <f t="shared" si="439"/>
        <v>877099.58</v>
      </c>
      <c r="WX35" s="864">
        <f t="shared" si="439"/>
        <v>43855.01</v>
      </c>
      <c r="WY35" s="876">
        <f t="shared" si="439"/>
        <v>833244.57</v>
      </c>
      <c r="WZ35" s="857">
        <f t="shared" si="439"/>
        <v>20771410.530000001</v>
      </c>
      <c r="XA35" s="883">
        <f t="shared" si="439"/>
        <v>1038570.53</v>
      </c>
      <c r="XB35" s="876">
        <f t="shared" si="439"/>
        <v>19732840</v>
      </c>
      <c r="XC35" s="857">
        <f t="shared" si="439"/>
        <v>13570702.01</v>
      </c>
      <c r="XD35" s="864">
        <f t="shared" si="439"/>
        <v>678535.1100000001</v>
      </c>
      <c r="XE35" s="876">
        <f t="shared" si="439"/>
        <v>12892166.9</v>
      </c>
      <c r="XF35" s="857">
        <f t="shared" si="439"/>
        <v>217125291</v>
      </c>
      <c r="XG35" s="864">
        <f t="shared" si="439"/>
        <v>0</v>
      </c>
      <c r="XH35" s="878">
        <f t="shared" si="439"/>
        <v>217125291</v>
      </c>
      <c r="XI35" s="857">
        <f t="shared" si="439"/>
        <v>154512960</v>
      </c>
      <c r="XJ35" s="864">
        <f t="shared" si="439"/>
        <v>0</v>
      </c>
      <c r="XK35" s="876">
        <f t="shared" si="439"/>
        <v>154512960</v>
      </c>
      <c r="XL35" s="976">
        <f t="shared" si="439"/>
        <v>0</v>
      </c>
      <c r="XM35" s="977">
        <f t="shared" si="439"/>
        <v>0</v>
      </c>
      <c r="XN35" s="978">
        <f t="shared" si="439"/>
        <v>0</v>
      </c>
      <c r="XO35" s="979">
        <f t="shared" si="439"/>
        <v>0</v>
      </c>
      <c r="XP35" s="978">
        <f t="shared" si="439"/>
        <v>0</v>
      </c>
      <c r="XQ35" s="979">
        <f t="shared" si="439"/>
        <v>0</v>
      </c>
      <c r="XR35" s="896">
        <f t="shared" si="439"/>
        <v>0</v>
      </c>
      <c r="XS35" s="979">
        <f t="shared" si="439"/>
        <v>0</v>
      </c>
      <c r="XT35" s="980">
        <f t="shared" si="439"/>
        <v>0</v>
      </c>
      <c r="XU35" s="980">
        <f t="shared" si="439"/>
        <v>0</v>
      </c>
      <c r="XV35" s="980">
        <f t="shared" si="439"/>
        <v>0</v>
      </c>
      <c r="XW35" s="980">
        <f t="shared" si="439"/>
        <v>0</v>
      </c>
      <c r="XX35" s="978">
        <f t="shared" si="439"/>
        <v>925663370.18000007</v>
      </c>
      <c r="XY35" s="977">
        <f>SUM(XY33:XY34)</f>
        <v>335640263.04000002</v>
      </c>
      <c r="XZ35" s="979">
        <f t="shared" ref="XZ35:YE35" si="440">SUM(XZ33:XZ34)</f>
        <v>123634488</v>
      </c>
      <c r="YA35" s="979">
        <f>SUM(YA33:YA34)</f>
        <v>0</v>
      </c>
      <c r="YB35" s="977">
        <f t="shared" si="440"/>
        <v>355374797.69</v>
      </c>
      <c r="YC35" s="977">
        <f t="shared" si="440"/>
        <v>0</v>
      </c>
      <c r="YD35" s="979">
        <f t="shared" si="440"/>
        <v>95774236.409999996</v>
      </c>
      <c r="YE35" s="979">
        <f t="shared" si="440"/>
        <v>0</v>
      </c>
      <c r="YF35" s="977">
        <f>SUM(YF33:YF34)</f>
        <v>0</v>
      </c>
      <c r="YG35" s="979">
        <f t="shared" ref="YG35:YK35" si="441">SUM(YG33:YG34)</f>
        <v>0</v>
      </c>
      <c r="YH35" s="979">
        <f t="shared" si="441"/>
        <v>15239585.040000001</v>
      </c>
      <c r="YI35" s="978">
        <f t="shared" si="441"/>
        <v>289396534.48000002</v>
      </c>
      <c r="YJ35" s="979">
        <f t="shared" si="441"/>
        <v>132231129.48</v>
      </c>
      <c r="YK35" s="979">
        <f t="shared" si="441"/>
        <v>0</v>
      </c>
      <c r="YL35" s="977">
        <f>SUM(YL33:YL34)</f>
        <v>0</v>
      </c>
      <c r="YM35" s="979">
        <f t="shared" ref="YM35:YT35" si="442">SUM(YM33:YM34)</f>
        <v>151401068.86000001</v>
      </c>
      <c r="YN35" s="979">
        <f t="shared" si="442"/>
        <v>0</v>
      </c>
      <c r="YO35" s="979">
        <f t="shared" si="442"/>
        <v>1330149.97</v>
      </c>
      <c r="YP35" s="979">
        <f>SUM(YP33:YP34)</f>
        <v>0</v>
      </c>
      <c r="YQ35" s="979">
        <f t="shared" ref="YQ35:YS35" si="443">SUM(YQ33:YQ34)</f>
        <v>0</v>
      </c>
      <c r="YR35" s="979">
        <f t="shared" si="443"/>
        <v>0</v>
      </c>
      <c r="YS35" s="979">
        <f t="shared" si="443"/>
        <v>4434186.17</v>
      </c>
      <c r="YT35" s="857">
        <f t="shared" si="442"/>
        <v>0</v>
      </c>
      <c r="YU35" s="979">
        <f>SUM(YU33:YU34)</f>
        <v>0</v>
      </c>
      <c r="YV35" s="979">
        <f>SUM(YV33:YV34)</f>
        <v>0</v>
      </c>
      <c r="YW35" s="979">
        <f>SUM(YW33:YW34)</f>
        <v>0</v>
      </c>
      <c r="YX35" s="979">
        <f>SUM(YX33:YX34)</f>
        <v>0</v>
      </c>
      <c r="YY35" s="981">
        <f t="shared" ref="YY35" si="444">SUM(YY33:YY34)</f>
        <v>0</v>
      </c>
      <c r="YZ35" s="857">
        <f t="shared" si="439"/>
        <v>0</v>
      </c>
      <c r="ZA35" s="979">
        <f>SUM(ZA33:ZA34)</f>
        <v>0</v>
      </c>
      <c r="ZB35" s="979">
        <f>SUM(ZB33:ZB34)</f>
        <v>0</v>
      </c>
      <c r="ZC35" s="979">
        <f>SUM(ZC33:ZC34)</f>
        <v>0</v>
      </c>
      <c r="ZD35" s="979">
        <f>SUM(ZD33:ZD34)</f>
        <v>0</v>
      </c>
      <c r="ZE35" s="981">
        <f t="shared" ref="ZE35" si="445">SUM(ZE33:ZE34)</f>
        <v>0</v>
      </c>
      <c r="ZF35" s="862">
        <f t="shared" si="439"/>
        <v>0</v>
      </c>
      <c r="ZG35" s="979">
        <f>SUM(ZG33:ZG34)</f>
        <v>0</v>
      </c>
      <c r="ZH35" s="979">
        <f>SUM(ZH33:ZH34)</f>
        <v>0</v>
      </c>
      <c r="ZI35" s="979">
        <f>SUM(ZI33:ZI34)</f>
        <v>0</v>
      </c>
      <c r="ZJ35" s="979">
        <f>SUM(ZJ33:ZJ34)</f>
        <v>0</v>
      </c>
      <c r="ZK35" s="979">
        <f>SUM(ZK33:ZK34)</f>
        <v>0</v>
      </c>
      <c r="ZL35" s="862">
        <f t="shared" ref="ZL35" si="446">SUM(ZL33:ZL34)</f>
        <v>0</v>
      </c>
      <c r="ZM35" s="979">
        <f>SUM(ZM33:ZM34)</f>
        <v>0</v>
      </c>
      <c r="ZN35" s="979">
        <f>SUM(ZN33:ZN34)</f>
        <v>0</v>
      </c>
      <c r="ZO35" s="979">
        <f>SUM(ZO33:ZO34)</f>
        <v>0</v>
      </c>
      <c r="ZP35" s="979">
        <f>SUM(ZP33:ZP34)</f>
        <v>0</v>
      </c>
      <c r="ZQ35" s="979">
        <f>SUM(ZQ33:ZQ34)</f>
        <v>0</v>
      </c>
      <c r="ZR35" s="862">
        <f t="shared" ref="ZR35" si="447">SUM(ZR33:ZR34)</f>
        <v>0</v>
      </c>
      <c r="ZS35" s="979">
        <f>SUM(ZS33:ZS34)</f>
        <v>0</v>
      </c>
      <c r="ZT35" s="979">
        <f>SUM(ZT33:ZT34)</f>
        <v>0</v>
      </c>
      <c r="ZU35" s="979"/>
      <c r="ZV35" s="979">
        <f>SUM(ZV33:ZV34)</f>
        <v>0</v>
      </c>
      <c r="ZW35" s="981">
        <f t="shared" ref="ZW35:AAU35" si="448">SUM(ZW33:ZW34)</f>
        <v>0</v>
      </c>
      <c r="ZX35" s="862">
        <f t="shared" si="448"/>
        <v>0</v>
      </c>
      <c r="ZY35" s="979">
        <f>SUM(ZY33:ZY34)</f>
        <v>0</v>
      </c>
      <c r="ZZ35" s="979">
        <f>SUM(ZZ33:ZZ34)</f>
        <v>0</v>
      </c>
      <c r="AAA35" s="979"/>
      <c r="AAB35" s="979">
        <f>SUM(AAB33:AAB34)</f>
        <v>0</v>
      </c>
      <c r="AAC35" s="981">
        <f t="shared" ref="AAC35" si="449">SUM(AAC33:AAC34)</f>
        <v>0</v>
      </c>
      <c r="AAD35" s="975">
        <f t="shared" si="448"/>
        <v>-1600900000.1600001</v>
      </c>
      <c r="AAE35" s="978">
        <f t="shared" si="448"/>
        <v>-30000000</v>
      </c>
      <c r="AAF35" s="978">
        <f t="shared" si="448"/>
        <v>0</v>
      </c>
      <c r="AAG35" s="978">
        <f t="shared" si="448"/>
        <v>0</v>
      </c>
      <c r="AAH35" s="978">
        <f t="shared" si="448"/>
        <v>0</v>
      </c>
      <c r="AAI35" s="978">
        <f t="shared" si="448"/>
        <v>0</v>
      </c>
      <c r="AAJ35" s="982">
        <f t="shared" si="448"/>
        <v>0</v>
      </c>
      <c r="AAK35" s="982">
        <f t="shared" si="448"/>
        <v>0</v>
      </c>
      <c r="AAL35" s="982">
        <f t="shared" si="448"/>
        <v>0</v>
      </c>
      <c r="AAM35" s="982">
        <f t="shared" si="448"/>
        <v>0</v>
      </c>
      <c r="AAN35" s="978">
        <f t="shared" si="448"/>
        <v>-1600900000.1600001</v>
      </c>
      <c r="AAO35" s="978">
        <f t="shared" si="448"/>
        <v>-30000000</v>
      </c>
      <c r="AAP35" s="978">
        <f t="shared" si="448"/>
        <v>0</v>
      </c>
      <c r="AAQ35" s="978">
        <f t="shared" si="448"/>
        <v>0</v>
      </c>
      <c r="AAR35" s="982">
        <f t="shared" si="448"/>
        <v>0</v>
      </c>
      <c r="AAS35" s="982">
        <f t="shared" si="448"/>
        <v>0</v>
      </c>
      <c r="AAT35" s="982">
        <f t="shared" si="448"/>
        <v>0</v>
      </c>
      <c r="AAU35" s="982">
        <f t="shared" si="448"/>
        <v>0</v>
      </c>
      <c r="AAV35" s="1246">
        <f>'Проверочная  таблица'!AAN35+'Проверочная  таблица'!AAP35</f>
        <v>-1600900000.1600001</v>
      </c>
      <c r="AAW35" s="1246">
        <f>'Проверочная  таблица'!AAO35+'Проверочная  таблица'!AAQ35</f>
        <v>-30000000</v>
      </c>
    </row>
    <row r="36" spans="1:725" ht="14.25" customHeight="1" x14ac:dyDescent="0.25">
      <c r="A36" s="983"/>
      <c r="B36" s="942"/>
      <c r="C36" s="942"/>
      <c r="D36" s="964"/>
      <c r="E36" s="964"/>
      <c r="F36" s="942"/>
      <c r="G36" s="941"/>
      <c r="H36" s="943"/>
      <c r="I36" s="942"/>
      <c r="J36" s="966"/>
      <c r="K36" s="972"/>
      <c r="L36" s="966"/>
      <c r="M36" s="972"/>
      <c r="N36" s="943"/>
      <c r="O36" s="942"/>
      <c r="P36" s="943"/>
      <c r="Q36" s="942"/>
      <c r="R36" s="966"/>
      <c r="S36" s="972"/>
      <c r="T36" s="966"/>
      <c r="U36" s="972"/>
      <c r="V36" s="942"/>
      <c r="W36" s="969"/>
      <c r="X36" s="970"/>
      <c r="Y36" s="970"/>
      <c r="Z36" s="942"/>
      <c r="AA36" s="969"/>
      <c r="AB36" s="970"/>
      <c r="AC36" s="984"/>
      <c r="AD36" s="942"/>
      <c r="AE36" s="969"/>
      <c r="AF36" s="970"/>
      <c r="AG36" s="942"/>
      <c r="AH36" s="969"/>
      <c r="AI36" s="970"/>
      <c r="AJ36" s="966"/>
      <c r="AK36" s="972"/>
      <c r="AL36" s="966"/>
      <c r="AM36" s="972"/>
      <c r="AN36" s="846"/>
      <c r="AO36" s="964"/>
      <c r="AP36" s="921"/>
      <c r="AQ36" s="944"/>
      <c r="AR36" s="922"/>
      <c r="AS36" s="921"/>
      <c r="AT36" s="970"/>
      <c r="AU36" s="970"/>
      <c r="AV36" s="964"/>
      <c r="AW36" s="922"/>
      <c r="AX36" s="964"/>
      <c r="AY36" s="970"/>
      <c r="AZ36" s="967"/>
      <c r="BA36" s="924"/>
      <c r="BB36" s="967"/>
      <c r="BC36" s="944"/>
      <c r="BD36" s="967"/>
      <c r="BE36" s="922"/>
      <c r="BF36" s="967"/>
      <c r="BG36" s="970"/>
      <c r="BH36" s="942"/>
      <c r="BI36" s="970"/>
      <c r="BJ36" s="942"/>
      <c r="BK36" s="971"/>
      <c r="BL36" s="942"/>
      <c r="BM36" s="970"/>
      <c r="BN36" s="942"/>
      <c r="BO36" s="970"/>
      <c r="BP36" s="972"/>
      <c r="BQ36" s="972"/>
      <c r="BR36" s="972"/>
      <c r="BS36" s="972"/>
      <c r="BT36" s="943"/>
      <c r="BU36" s="921"/>
      <c r="BV36" s="943"/>
      <c r="BW36" s="921"/>
      <c r="BX36" s="966"/>
      <c r="BY36" s="927"/>
      <c r="BZ36" s="966"/>
      <c r="CA36" s="927"/>
      <c r="CB36" s="846"/>
      <c r="CC36" s="922"/>
      <c r="CD36" s="922"/>
      <c r="CE36" s="921"/>
      <c r="CF36" s="970"/>
      <c r="CG36" s="970"/>
      <c r="CH36" s="930"/>
      <c r="CI36" s="921"/>
      <c r="CJ36" s="846"/>
      <c r="CK36" s="846"/>
      <c r="CL36" s="936"/>
      <c r="CM36" s="936"/>
      <c r="CN36" s="936"/>
      <c r="CO36" s="936"/>
      <c r="CP36" s="846"/>
      <c r="CQ36" s="922"/>
      <c r="CR36" s="922"/>
      <c r="CS36" s="921"/>
      <c r="CT36" s="970"/>
      <c r="CU36" s="970"/>
      <c r="CV36" s="846"/>
      <c r="CW36" s="970"/>
      <c r="CX36" s="938"/>
      <c r="CY36" s="970"/>
      <c r="CZ36" s="935"/>
      <c r="DA36" s="970"/>
      <c r="DB36" s="935"/>
      <c r="DC36" s="921"/>
      <c r="DD36" s="969"/>
      <c r="DE36" s="973"/>
      <c r="DF36" s="970"/>
      <c r="DG36" s="935"/>
      <c r="DH36" s="970"/>
      <c r="DI36" s="935"/>
      <c r="DJ36" s="846"/>
      <c r="DK36" s="970"/>
      <c r="DL36" s="938"/>
      <c r="DM36" s="921"/>
      <c r="DN36" s="970"/>
      <c r="DO36" s="939"/>
      <c r="DP36" s="932"/>
      <c r="DQ36" s="927"/>
      <c r="DR36" s="932"/>
      <c r="DS36" s="927"/>
      <c r="DT36" s="930"/>
      <c r="DU36" s="765"/>
      <c r="DV36" s="925"/>
      <c r="DW36" s="765"/>
      <c r="DX36" s="921"/>
      <c r="DY36" s="765"/>
      <c r="DZ36" s="765"/>
      <c r="EA36" s="765"/>
      <c r="EB36" s="846"/>
      <c r="EC36" s="970"/>
      <c r="ED36" s="938"/>
      <c r="EE36" s="921"/>
      <c r="EF36" s="969"/>
      <c r="EG36" s="935"/>
      <c r="EH36" s="964"/>
      <c r="EI36" s="971"/>
      <c r="EJ36" s="935"/>
      <c r="EK36" s="942"/>
      <c r="EL36" s="971"/>
      <c r="EM36" s="935"/>
      <c r="EN36" s="846"/>
      <c r="EO36" s="970"/>
      <c r="EP36" s="970"/>
      <c r="EQ36" s="939"/>
      <c r="ER36" s="846"/>
      <c r="ES36" s="970"/>
      <c r="ET36" s="970"/>
      <c r="EU36" s="939"/>
      <c r="EV36" s="846"/>
      <c r="EW36" s="970"/>
      <c r="EX36" s="938"/>
      <c r="EY36" s="921"/>
      <c r="EZ36" s="970"/>
      <c r="FA36" s="938"/>
      <c r="FB36" s="846"/>
      <c r="FC36" s="970"/>
      <c r="FD36" s="938"/>
      <c r="FE36" s="921"/>
      <c r="FF36" s="970"/>
      <c r="FG36" s="939"/>
      <c r="FH36" s="846"/>
      <c r="FI36" s="970"/>
      <c r="FJ36" s="938"/>
      <c r="FK36" s="921"/>
      <c r="FL36" s="970"/>
      <c r="FM36" s="939"/>
      <c r="FN36" s="936"/>
      <c r="FO36" s="970"/>
      <c r="FP36" s="938"/>
      <c r="FQ36" s="923"/>
      <c r="FR36" s="970"/>
      <c r="FS36" s="939"/>
      <c r="FT36" s="936"/>
      <c r="FU36" s="970"/>
      <c r="FV36" s="938"/>
      <c r="FW36" s="923"/>
      <c r="FX36" s="970"/>
      <c r="FY36" s="939"/>
      <c r="FZ36" s="846"/>
      <c r="GA36" s="922"/>
      <c r="GB36" s="833"/>
      <c r="GC36" s="846"/>
      <c r="GD36" s="971"/>
      <c r="GE36" s="935"/>
      <c r="GF36" s="846"/>
      <c r="GG36" s="922"/>
      <c r="GH36" s="833"/>
      <c r="GI36" s="846"/>
      <c r="GJ36" s="971"/>
      <c r="GK36" s="935"/>
      <c r="GL36" s="936"/>
      <c r="GM36" s="922"/>
      <c r="GN36" s="833"/>
      <c r="GO36" s="936"/>
      <c r="GP36" s="971"/>
      <c r="GQ36" s="935"/>
      <c r="GR36" s="936"/>
      <c r="GS36" s="936"/>
      <c r="GT36" s="936"/>
      <c r="GU36" s="936"/>
      <c r="GV36" s="846"/>
      <c r="GW36" s="926"/>
      <c r="GX36" s="935"/>
      <c r="GY36" s="970"/>
      <c r="GZ36" s="921"/>
      <c r="HA36" s="926"/>
      <c r="HB36" s="935"/>
      <c r="HC36" s="970"/>
      <c r="HD36" s="936"/>
      <c r="HE36" s="970"/>
      <c r="HF36" s="936"/>
      <c r="HG36" s="970"/>
      <c r="HH36" s="936"/>
      <c r="HI36" s="936"/>
      <c r="HJ36" s="936"/>
      <c r="HK36" s="936"/>
      <c r="HL36" s="846"/>
      <c r="HM36" s="926"/>
      <c r="HN36" s="935"/>
      <c r="HO36" s="921"/>
      <c r="HP36" s="926"/>
      <c r="HQ36" s="935"/>
      <c r="HR36" s="846"/>
      <c r="HS36" s="926"/>
      <c r="HT36" s="935"/>
      <c r="HU36" s="921"/>
      <c r="HV36" s="926"/>
      <c r="HW36" s="935"/>
      <c r="HX36" s="846"/>
      <c r="HY36" s="926"/>
      <c r="HZ36" s="935"/>
      <c r="IA36" s="921"/>
      <c r="IB36" s="926"/>
      <c r="IC36" s="935"/>
      <c r="ID36" s="936"/>
      <c r="IE36" s="970"/>
      <c r="IF36" s="938"/>
      <c r="IG36" s="923"/>
      <c r="IH36" s="970"/>
      <c r="II36" s="939"/>
      <c r="IJ36" s="936"/>
      <c r="IK36" s="970"/>
      <c r="IL36" s="938"/>
      <c r="IM36" s="923"/>
      <c r="IN36" s="970"/>
      <c r="IO36" s="939"/>
      <c r="IP36" s="846"/>
      <c r="IQ36" s="926"/>
      <c r="IR36" s="935"/>
      <c r="IS36" s="921"/>
      <c r="IT36" s="926"/>
      <c r="IU36" s="935"/>
      <c r="IV36" s="1146"/>
      <c r="IW36" s="926"/>
      <c r="IX36" s="935"/>
      <c r="IY36" s="1147"/>
      <c r="IZ36" s="926"/>
      <c r="JA36" s="935"/>
      <c r="JB36" s="936"/>
      <c r="JC36" s="923"/>
      <c r="JD36" s="936"/>
      <c r="JE36" s="923"/>
      <c r="JF36" s="846"/>
      <c r="JG36" s="926"/>
      <c r="JH36" s="935"/>
      <c r="JI36" s="921"/>
      <c r="JJ36" s="926"/>
      <c r="JK36" s="935"/>
      <c r="JL36" s="846"/>
      <c r="JM36" s="926"/>
      <c r="JN36" s="935"/>
      <c r="JO36" s="921"/>
      <c r="JP36" s="926"/>
      <c r="JQ36" s="935"/>
      <c r="JR36" s="930"/>
      <c r="JS36" s="926"/>
      <c r="JT36" s="935"/>
      <c r="JU36" s="921"/>
      <c r="JV36" s="765"/>
      <c r="JW36" s="935"/>
      <c r="JX36" s="846"/>
      <c r="JY36" s="765"/>
      <c r="JZ36" s="935"/>
      <c r="KA36" s="921"/>
      <c r="KB36" s="765"/>
      <c r="KC36" s="935"/>
      <c r="KD36" s="936"/>
      <c r="KE36" s="765"/>
      <c r="KF36" s="935"/>
      <c r="KG36" s="923"/>
      <c r="KH36" s="765"/>
      <c r="KI36" s="935"/>
      <c r="KJ36" s="923"/>
      <c r="KK36" s="765"/>
      <c r="KL36" s="935"/>
      <c r="KM36" s="923"/>
      <c r="KN36" s="765"/>
      <c r="KO36" s="935"/>
      <c r="KP36" s="846"/>
      <c r="KQ36" s="970"/>
      <c r="KR36" s="939"/>
      <c r="KS36" s="765"/>
      <c r="KT36" s="939"/>
      <c r="KU36" s="921"/>
      <c r="KV36" s="970"/>
      <c r="KW36" s="939"/>
      <c r="KX36" s="970"/>
      <c r="KY36" s="939"/>
      <c r="KZ36" s="964"/>
      <c r="LA36" s="926"/>
      <c r="LB36" s="935"/>
      <c r="LC36" s="926"/>
      <c r="LD36" s="935"/>
      <c r="LE36" s="942"/>
      <c r="LF36" s="970"/>
      <c r="LG36" s="939"/>
      <c r="LH36" s="970"/>
      <c r="LI36" s="939"/>
      <c r="LJ36" s="968"/>
      <c r="LK36" s="926"/>
      <c r="LL36" s="935"/>
      <c r="LM36" s="972"/>
      <c r="LN36" s="925"/>
      <c r="LO36" s="935"/>
      <c r="LP36" s="972"/>
      <c r="LQ36" s="926"/>
      <c r="LR36" s="973"/>
      <c r="LS36" s="972"/>
      <c r="LT36" s="765"/>
      <c r="LU36" s="935"/>
      <c r="LV36" s="921"/>
      <c r="LW36" s="970"/>
      <c r="LX36" s="970"/>
      <c r="LY36" s="939"/>
      <c r="LZ36" s="921"/>
      <c r="MA36" s="970"/>
      <c r="MB36" s="970"/>
      <c r="MC36" s="939"/>
      <c r="MD36" s="921"/>
      <c r="ME36" s="970"/>
      <c r="MF36" s="970"/>
      <c r="MG36" s="939"/>
      <c r="MH36" s="921"/>
      <c r="MI36" s="970"/>
      <c r="MJ36" s="970"/>
      <c r="MK36" s="939"/>
      <c r="ML36" s="923"/>
      <c r="MM36" s="970"/>
      <c r="MN36" s="970"/>
      <c r="MO36" s="939"/>
      <c r="MP36" s="923"/>
      <c r="MQ36" s="970"/>
      <c r="MR36" s="970"/>
      <c r="MS36" s="939"/>
      <c r="MT36" s="923"/>
      <c r="MU36" s="970"/>
      <c r="MV36" s="970"/>
      <c r="MW36" s="939"/>
      <c r="MX36" s="923"/>
      <c r="MY36" s="970"/>
      <c r="MZ36" s="970"/>
      <c r="NA36" s="939"/>
      <c r="NB36" s="942"/>
      <c r="NC36" s="970"/>
      <c r="ND36" s="939"/>
      <c r="NE36" s="926"/>
      <c r="NF36" s="935"/>
      <c r="NG36" s="937"/>
      <c r="NH36" s="765"/>
      <c r="NI36" s="973"/>
      <c r="NJ36" s="942"/>
      <c r="NK36" s="970"/>
      <c r="NL36" s="939"/>
      <c r="NM36" s="926"/>
      <c r="NN36" s="935"/>
      <c r="NO36" s="970"/>
      <c r="NP36" s="970"/>
      <c r="NQ36" s="935"/>
      <c r="NR36" s="846"/>
      <c r="NS36" s="765"/>
      <c r="NT36" s="938"/>
      <c r="NU36" s="921"/>
      <c r="NV36" s="969"/>
      <c r="NW36" s="935"/>
      <c r="NX36" s="923"/>
      <c r="NY36" s="765"/>
      <c r="NZ36" s="935"/>
      <c r="OA36" s="923"/>
      <c r="OB36" s="765"/>
      <c r="OC36" s="973"/>
      <c r="OD36" s="923"/>
      <c r="OE36" s="765"/>
      <c r="OF36" s="938"/>
      <c r="OG36" s="923"/>
      <c r="OH36" s="765"/>
      <c r="OI36" s="935"/>
      <c r="OJ36" s="941"/>
      <c r="OK36" s="970"/>
      <c r="OL36" s="935"/>
      <c r="OM36" s="971"/>
      <c r="ON36" s="942"/>
      <c r="OO36" s="971"/>
      <c r="OP36" s="935"/>
      <c r="OQ36" s="971"/>
      <c r="OR36" s="921"/>
      <c r="OS36" s="765"/>
      <c r="OT36" s="935"/>
      <c r="OU36" s="765"/>
      <c r="OV36" s="921"/>
      <c r="OW36" s="765"/>
      <c r="OX36" s="935"/>
      <c r="OY36" s="765"/>
      <c r="OZ36" s="921"/>
      <c r="PA36" s="765"/>
      <c r="PB36" s="935"/>
      <c r="PC36" s="765"/>
      <c r="PD36" s="941"/>
      <c r="PE36" s="765"/>
      <c r="PF36" s="935"/>
      <c r="PG36" s="765"/>
      <c r="PH36" s="968"/>
      <c r="PI36" s="926"/>
      <c r="PJ36" s="935"/>
      <c r="PK36" s="765"/>
      <c r="PL36" s="972"/>
      <c r="PM36" s="925"/>
      <c r="PN36" s="935"/>
      <c r="PO36" s="765"/>
      <c r="PP36" s="972"/>
      <c r="PQ36" s="926"/>
      <c r="PR36" s="973"/>
      <c r="PS36" s="765"/>
      <c r="PT36" s="972"/>
      <c r="PU36" s="765"/>
      <c r="PV36" s="935"/>
      <c r="PW36" s="765"/>
      <c r="PX36" s="942"/>
      <c r="PY36" s="970"/>
      <c r="PZ36" s="939"/>
      <c r="QA36" s="970"/>
      <c r="QB36" s="939"/>
      <c r="QC36" s="942"/>
      <c r="QD36" s="970"/>
      <c r="QE36" s="939"/>
      <c r="QF36" s="970"/>
      <c r="QG36" s="939"/>
      <c r="QH36" s="942"/>
      <c r="QI36" s="970"/>
      <c r="QJ36" s="939"/>
      <c r="QK36" s="942"/>
      <c r="QL36" s="970"/>
      <c r="QM36" s="939"/>
      <c r="QN36" s="967"/>
      <c r="QO36" s="970"/>
      <c r="QP36" s="939"/>
      <c r="QQ36" s="967"/>
      <c r="QR36" s="970"/>
      <c r="QS36" s="939"/>
      <c r="QT36" s="967"/>
      <c r="QU36" s="970"/>
      <c r="QV36" s="939"/>
      <c r="QW36" s="967"/>
      <c r="QX36" s="970"/>
      <c r="QY36" s="939"/>
      <c r="QZ36" s="846"/>
      <c r="RA36" s="926"/>
      <c r="RB36" s="935"/>
      <c r="RC36" s="921"/>
      <c r="RD36" s="926"/>
      <c r="RE36" s="935"/>
      <c r="RF36" s="846"/>
      <c r="RG36" s="926"/>
      <c r="RH36" s="935"/>
      <c r="RI36" s="921"/>
      <c r="RJ36" s="926"/>
      <c r="RK36" s="935"/>
      <c r="RL36" s="846"/>
      <c r="RM36" s="926"/>
      <c r="RN36" s="935"/>
      <c r="RO36" s="921"/>
      <c r="RP36" s="926"/>
      <c r="RQ36" s="935"/>
      <c r="RR36" s="936"/>
      <c r="RS36" s="926"/>
      <c r="RT36" s="935"/>
      <c r="RU36" s="923"/>
      <c r="RV36" s="926"/>
      <c r="RW36" s="935"/>
      <c r="RX36" s="936"/>
      <c r="RY36" s="926"/>
      <c r="RZ36" s="935"/>
      <c r="SA36" s="923"/>
      <c r="SB36" s="926"/>
      <c r="SC36" s="935"/>
      <c r="SD36" s="846"/>
      <c r="SE36" s="970"/>
      <c r="SF36" s="935"/>
      <c r="SG36" s="921"/>
      <c r="SH36" s="969"/>
      <c r="SI36" s="935"/>
      <c r="SJ36" s="921"/>
      <c r="SK36" s="970"/>
      <c r="SL36" s="970"/>
      <c r="SM36" s="935"/>
      <c r="SN36" s="921"/>
      <c r="SO36" s="970"/>
      <c r="SP36" s="969"/>
      <c r="SQ36" s="935"/>
      <c r="SR36" s="846"/>
      <c r="SS36" s="970"/>
      <c r="ST36" s="938"/>
      <c r="SU36" s="921"/>
      <c r="SV36" s="969"/>
      <c r="SW36" s="935"/>
      <c r="SX36" s="942"/>
      <c r="SY36" s="970"/>
      <c r="SZ36" s="939"/>
      <c r="TA36" s="970"/>
      <c r="TB36" s="939"/>
      <c r="TC36" s="970"/>
      <c r="TD36" s="939"/>
      <c r="TE36" s="942"/>
      <c r="TF36" s="970"/>
      <c r="TG36" s="939"/>
      <c r="TH36" s="970"/>
      <c r="TI36" s="939"/>
      <c r="TJ36" s="970"/>
      <c r="TK36" s="935"/>
      <c r="TL36" s="942"/>
      <c r="TM36" s="970"/>
      <c r="TN36" s="939"/>
      <c r="TO36" s="970"/>
      <c r="TP36" s="939"/>
      <c r="TQ36" s="970"/>
      <c r="TR36" s="939"/>
      <c r="TS36" s="942"/>
      <c r="TT36" s="970"/>
      <c r="TU36" s="939"/>
      <c r="TV36" s="970"/>
      <c r="TW36" s="939"/>
      <c r="TX36" s="970"/>
      <c r="TY36" s="939"/>
      <c r="TZ36" s="967"/>
      <c r="UA36" s="970"/>
      <c r="UB36" s="939"/>
      <c r="UC36" s="970"/>
      <c r="UD36" s="939"/>
      <c r="UE36" s="970"/>
      <c r="UF36" s="939"/>
      <c r="UG36" s="967"/>
      <c r="UH36" s="970"/>
      <c r="UI36" s="939"/>
      <c r="UJ36" s="970"/>
      <c r="UK36" s="939"/>
      <c r="UL36" s="970"/>
      <c r="UM36" s="939"/>
      <c r="UN36" s="967"/>
      <c r="UO36" s="970"/>
      <c r="UP36" s="939"/>
      <c r="UQ36" s="970"/>
      <c r="UR36" s="939"/>
      <c r="US36" s="970"/>
      <c r="UT36" s="939"/>
      <c r="UU36" s="967"/>
      <c r="UV36" s="970"/>
      <c r="UW36" s="939"/>
      <c r="UX36" s="970"/>
      <c r="UY36" s="939"/>
      <c r="UZ36" s="970"/>
      <c r="VA36" s="939"/>
      <c r="VB36" s="921"/>
      <c r="VC36" s="921"/>
      <c r="VD36" s="921"/>
      <c r="VE36" s="942"/>
      <c r="VF36" s="966"/>
      <c r="VG36" s="972"/>
      <c r="VH36" s="966"/>
      <c r="VI36" s="972"/>
      <c r="VJ36" s="921"/>
      <c r="VK36" s="969"/>
      <c r="VL36" s="970"/>
      <c r="VM36" s="921"/>
      <c r="VN36" s="969"/>
      <c r="VO36" s="971"/>
      <c r="VP36" s="921"/>
      <c r="VQ36" s="943"/>
      <c r="VR36" s="921"/>
      <c r="VS36" s="941"/>
      <c r="VT36" s="930"/>
      <c r="VU36" s="942"/>
      <c r="VV36" s="930"/>
      <c r="VW36" s="942"/>
      <c r="VX36" s="930"/>
      <c r="VY36" s="942"/>
      <c r="VZ36" s="943"/>
      <c r="WA36" s="942"/>
      <c r="WB36" s="941"/>
      <c r="WC36" s="943"/>
      <c r="WD36" s="942"/>
      <c r="WE36" s="941"/>
      <c r="WF36" s="942"/>
      <c r="WG36" s="765"/>
      <c r="WH36" s="938"/>
      <c r="WI36" s="942"/>
      <c r="WJ36" s="765"/>
      <c r="WK36" s="938"/>
      <c r="WL36" s="921"/>
      <c r="WM36" s="969"/>
      <c r="WN36" s="935"/>
      <c r="WO36" s="921"/>
      <c r="WP36" s="765"/>
      <c r="WQ36" s="938"/>
      <c r="WR36" s="921"/>
      <c r="WS36" s="921"/>
      <c r="WT36" s="921"/>
      <c r="WU36" s="969"/>
      <c r="WV36" s="935"/>
      <c r="WW36" s="921"/>
      <c r="WX36" s="969"/>
      <c r="WY36" s="935"/>
      <c r="WZ36" s="921"/>
      <c r="XA36" s="969"/>
      <c r="XB36" s="935"/>
      <c r="XC36" s="921"/>
      <c r="XD36" s="969"/>
      <c r="XE36" s="935"/>
      <c r="XF36" s="921"/>
      <c r="XG36" s="969"/>
      <c r="XH36" s="935"/>
      <c r="XI36" s="921"/>
      <c r="XJ36" s="969"/>
      <c r="XK36" s="935"/>
      <c r="XL36" s="978"/>
      <c r="XM36" s="977"/>
      <c r="XN36" s="978"/>
      <c r="XO36" s="979"/>
      <c r="XP36" s="978"/>
      <c r="XQ36" s="979"/>
      <c r="XR36" s="978"/>
      <c r="XS36" s="979"/>
      <c r="XT36" s="980"/>
      <c r="XU36" s="980"/>
      <c r="XV36" s="980"/>
      <c r="XW36" s="980"/>
      <c r="XX36" s="978"/>
      <c r="XY36" s="977"/>
      <c r="XZ36" s="979"/>
      <c r="YA36" s="979"/>
      <c r="YB36" s="977"/>
      <c r="YC36" s="977"/>
      <c r="YD36" s="979"/>
      <c r="YE36" s="979"/>
      <c r="YF36" s="977"/>
      <c r="YG36" s="979"/>
      <c r="YH36" s="979"/>
      <c r="YI36" s="978"/>
      <c r="YJ36" s="979"/>
      <c r="YK36" s="979"/>
      <c r="YL36" s="977"/>
      <c r="YM36" s="979"/>
      <c r="YN36" s="979"/>
      <c r="YO36" s="979"/>
      <c r="YP36" s="979"/>
      <c r="YQ36" s="977"/>
      <c r="YR36" s="979"/>
      <c r="YS36" s="979"/>
      <c r="YT36" s="921"/>
      <c r="YU36" s="979"/>
      <c r="YV36" s="979"/>
      <c r="YW36" s="979"/>
      <c r="YX36" s="979"/>
      <c r="YY36" s="981"/>
      <c r="YZ36" s="921"/>
      <c r="ZA36" s="979"/>
      <c r="ZB36" s="979"/>
      <c r="ZC36" s="979"/>
      <c r="ZD36" s="979"/>
      <c r="ZE36" s="981"/>
      <c r="ZF36" s="923"/>
      <c r="ZG36" s="979"/>
      <c r="ZH36" s="979"/>
      <c r="ZI36" s="979"/>
      <c r="ZJ36" s="979"/>
      <c r="ZK36" s="979"/>
      <c r="ZL36" s="923"/>
      <c r="ZM36" s="979"/>
      <c r="ZN36" s="979"/>
      <c r="ZO36" s="979"/>
      <c r="ZP36" s="979"/>
      <c r="ZQ36" s="979"/>
      <c r="ZR36" s="923"/>
      <c r="ZS36" s="979"/>
      <c r="ZT36" s="979"/>
      <c r="ZU36" s="979"/>
      <c r="ZV36" s="979"/>
      <c r="ZW36" s="981"/>
      <c r="ZX36" s="923"/>
      <c r="ZY36" s="979"/>
      <c r="ZZ36" s="979"/>
      <c r="AAA36" s="979"/>
      <c r="AAB36" s="979"/>
      <c r="AAC36" s="981"/>
      <c r="AAD36" s="975"/>
      <c r="AAE36" s="978"/>
      <c r="AAF36" s="978"/>
      <c r="AAG36" s="978"/>
      <c r="AAH36" s="978"/>
      <c r="AAI36" s="978"/>
      <c r="AAJ36" s="982"/>
      <c r="AAK36" s="982"/>
      <c r="AAL36" s="982"/>
      <c r="AAM36" s="982"/>
      <c r="AAN36" s="978"/>
      <c r="AAO36" s="978"/>
      <c r="AAP36" s="978"/>
      <c r="AAQ36" s="978"/>
      <c r="AAR36" s="982"/>
      <c r="AAS36" s="982"/>
      <c r="AAT36" s="982"/>
      <c r="AAU36" s="982"/>
      <c r="AAV36" s="1246">
        <f>'Проверочная  таблица'!AAN36+'Проверочная  таблица'!AAP36</f>
        <v>0</v>
      </c>
      <c r="AAW36" s="1246">
        <f>'Проверочная  таблица'!AAO36+'Проверочная  таблица'!AAQ36</f>
        <v>0</v>
      </c>
    </row>
    <row r="37" spans="1:725" ht="16.5" customHeight="1" thickBot="1" x14ac:dyDescent="0.3">
      <c r="A37" s="985"/>
      <c r="B37" s="847"/>
      <c r="C37" s="847"/>
      <c r="D37" s="848"/>
      <c r="E37" s="848"/>
      <c r="F37" s="847"/>
      <c r="G37" s="890"/>
      <c r="H37" s="868"/>
      <c r="I37" s="847"/>
      <c r="J37" s="869"/>
      <c r="K37" s="870"/>
      <c r="L37" s="869"/>
      <c r="M37" s="870"/>
      <c r="N37" s="868"/>
      <c r="O37" s="1149"/>
      <c r="P37" s="868"/>
      <c r="Q37" s="847"/>
      <c r="R37" s="869"/>
      <c r="S37" s="870"/>
      <c r="T37" s="869"/>
      <c r="U37" s="870"/>
      <c r="V37" s="847"/>
      <c r="W37" s="858"/>
      <c r="X37" s="829"/>
      <c r="Y37" s="829"/>
      <c r="Z37" s="847"/>
      <c r="AA37" s="858"/>
      <c r="AB37" s="859"/>
      <c r="AC37" s="889"/>
      <c r="AD37" s="847"/>
      <c r="AE37" s="860"/>
      <c r="AF37" s="859"/>
      <c r="AG37" s="847"/>
      <c r="AH37" s="860"/>
      <c r="AI37" s="859"/>
      <c r="AJ37" s="869"/>
      <c r="AK37" s="870"/>
      <c r="AL37" s="869"/>
      <c r="AM37" s="870"/>
      <c r="AN37" s="846"/>
      <c r="AO37" s="848"/>
      <c r="AP37" s="847"/>
      <c r="AQ37" s="858"/>
      <c r="AR37" s="859"/>
      <c r="AS37" s="847"/>
      <c r="AT37" s="859"/>
      <c r="AU37" s="859"/>
      <c r="AV37" s="848"/>
      <c r="AW37" s="859"/>
      <c r="AX37" s="848"/>
      <c r="AY37" s="859"/>
      <c r="AZ37" s="863"/>
      <c r="BA37" s="882"/>
      <c r="BB37" s="863"/>
      <c r="BC37" s="860"/>
      <c r="BD37" s="863"/>
      <c r="BE37" s="859"/>
      <c r="BF37" s="863"/>
      <c r="BG37" s="859"/>
      <c r="BH37" s="847"/>
      <c r="BI37" s="859"/>
      <c r="BJ37" s="847"/>
      <c r="BK37" s="882"/>
      <c r="BL37" s="847"/>
      <c r="BM37" s="859"/>
      <c r="BN37" s="847"/>
      <c r="BO37" s="859"/>
      <c r="BP37" s="870"/>
      <c r="BQ37" s="870"/>
      <c r="BR37" s="870"/>
      <c r="BS37" s="870"/>
      <c r="BT37" s="868"/>
      <c r="BU37" s="847"/>
      <c r="BV37" s="868"/>
      <c r="BW37" s="847"/>
      <c r="BX37" s="869"/>
      <c r="BY37" s="870"/>
      <c r="BZ37" s="869"/>
      <c r="CA37" s="870"/>
      <c r="CB37" s="848"/>
      <c r="CC37" s="829"/>
      <c r="CD37" s="859"/>
      <c r="CE37" s="847"/>
      <c r="CF37" s="859"/>
      <c r="CG37" s="859"/>
      <c r="CH37" s="868"/>
      <c r="CI37" s="847"/>
      <c r="CJ37" s="848"/>
      <c r="CK37" s="848"/>
      <c r="CL37" s="986"/>
      <c r="CM37" s="986"/>
      <c r="CN37" s="986"/>
      <c r="CO37" s="986"/>
      <c r="CP37" s="848"/>
      <c r="CQ37" s="829"/>
      <c r="CR37" s="859"/>
      <c r="CS37" s="847"/>
      <c r="CT37" s="859"/>
      <c r="CU37" s="859"/>
      <c r="CV37" s="848"/>
      <c r="CW37" s="859"/>
      <c r="CX37" s="891"/>
      <c r="CY37" s="859"/>
      <c r="CZ37" s="881"/>
      <c r="DA37" s="859"/>
      <c r="DB37" s="881"/>
      <c r="DC37" s="847"/>
      <c r="DD37" s="860"/>
      <c r="DE37" s="987"/>
      <c r="DF37" s="859"/>
      <c r="DG37" s="881"/>
      <c r="DH37" s="859"/>
      <c r="DI37" s="881"/>
      <c r="DJ37" s="848"/>
      <c r="DK37" s="859"/>
      <c r="DL37" s="891"/>
      <c r="DM37" s="847"/>
      <c r="DN37" s="859"/>
      <c r="DO37" s="988"/>
      <c r="DP37" s="869"/>
      <c r="DQ37" s="870"/>
      <c r="DR37" s="869"/>
      <c r="DS37" s="870"/>
      <c r="DT37" s="868"/>
      <c r="DU37" s="829"/>
      <c r="DV37" s="858"/>
      <c r="DW37" s="829"/>
      <c r="DX37" s="847"/>
      <c r="DY37" s="829"/>
      <c r="DZ37" s="829"/>
      <c r="EA37" s="829"/>
      <c r="EB37" s="848"/>
      <c r="EC37" s="859"/>
      <c r="ED37" s="891"/>
      <c r="EE37" s="847"/>
      <c r="EF37" s="860"/>
      <c r="EG37" s="881"/>
      <c r="EH37" s="848"/>
      <c r="EI37" s="882"/>
      <c r="EJ37" s="881"/>
      <c r="EK37" s="847"/>
      <c r="EL37" s="882"/>
      <c r="EM37" s="881"/>
      <c r="EN37" s="848"/>
      <c r="EO37" s="859"/>
      <c r="EP37" s="859"/>
      <c r="EQ37" s="988"/>
      <c r="ER37" s="848"/>
      <c r="ES37" s="859"/>
      <c r="ET37" s="859"/>
      <c r="EU37" s="988"/>
      <c r="EV37" s="848"/>
      <c r="EW37" s="859"/>
      <c r="EX37" s="891"/>
      <c r="EY37" s="847"/>
      <c r="EZ37" s="859"/>
      <c r="FA37" s="891"/>
      <c r="FB37" s="848"/>
      <c r="FC37" s="859"/>
      <c r="FD37" s="891"/>
      <c r="FE37" s="847"/>
      <c r="FF37" s="859"/>
      <c r="FG37" s="988"/>
      <c r="FH37" s="848"/>
      <c r="FI37" s="859"/>
      <c r="FJ37" s="891"/>
      <c r="FK37" s="847"/>
      <c r="FL37" s="859"/>
      <c r="FM37" s="988"/>
      <c r="FN37" s="986"/>
      <c r="FO37" s="859"/>
      <c r="FP37" s="891"/>
      <c r="FQ37" s="863"/>
      <c r="FR37" s="859"/>
      <c r="FS37" s="988"/>
      <c r="FT37" s="986"/>
      <c r="FU37" s="859"/>
      <c r="FV37" s="891"/>
      <c r="FW37" s="863"/>
      <c r="FX37" s="859"/>
      <c r="FY37" s="988"/>
      <c r="FZ37" s="848"/>
      <c r="GA37" s="859"/>
      <c r="GB37" s="891"/>
      <c r="GC37" s="848"/>
      <c r="GD37" s="882"/>
      <c r="GE37" s="881"/>
      <c r="GF37" s="848"/>
      <c r="GG37" s="859"/>
      <c r="GH37" s="891"/>
      <c r="GI37" s="848"/>
      <c r="GJ37" s="882"/>
      <c r="GK37" s="881"/>
      <c r="GL37" s="986"/>
      <c r="GM37" s="859"/>
      <c r="GN37" s="891"/>
      <c r="GO37" s="986"/>
      <c r="GP37" s="882"/>
      <c r="GQ37" s="881"/>
      <c r="GR37" s="986"/>
      <c r="GS37" s="986"/>
      <c r="GT37" s="986"/>
      <c r="GU37" s="986"/>
      <c r="GV37" s="848"/>
      <c r="GW37" s="880"/>
      <c r="GX37" s="881"/>
      <c r="GY37" s="859"/>
      <c r="GZ37" s="847"/>
      <c r="HA37" s="880"/>
      <c r="HB37" s="881"/>
      <c r="HC37" s="859"/>
      <c r="HD37" s="986"/>
      <c r="HE37" s="859"/>
      <c r="HF37" s="986"/>
      <c r="HG37" s="859"/>
      <c r="HH37" s="986"/>
      <c r="HI37" s="986"/>
      <c r="HJ37" s="986"/>
      <c r="HK37" s="986"/>
      <c r="HL37" s="848"/>
      <c r="HM37" s="880"/>
      <c r="HN37" s="881"/>
      <c r="HO37" s="847"/>
      <c r="HP37" s="880"/>
      <c r="HQ37" s="881"/>
      <c r="HR37" s="848"/>
      <c r="HS37" s="880"/>
      <c r="HT37" s="881"/>
      <c r="HU37" s="847"/>
      <c r="HV37" s="880"/>
      <c r="HW37" s="881"/>
      <c r="HX37" s="848"/>
      <c r="HY37" s="880"/>
      <c r="HZ37" s="881"/>
      <c r="IA37" s="847"/>
      <c r="IB37" s="880"/>
      <c r="IC37" s="881"/>
      <c r="ID37" s="986"/>
      <c r="IE37" s="859"/>
      <c r="IF37" s="891"/>
      <c r="IG37" s="863"/>
      <c r="IH37" s="859"/>
      <c r="II37" s="988"/>
      <c r="IJ37" s="986"/>
      <c r="IK37" s="859"/>
      <c r="IL37" s="891"/>
      <c r="IM37" s="863"/>
      <c r="IN37" s="859"/>
      <c r="IO37" s="988"/>
      <c r="IP37" s="848"/>
      <c r="IQ37" s="880"/>
      <c r="IR37" s="881"/>
      <c r="IS37" s="847"/>
      <c r="IT37" s="880"/>
      <c r="IU37" s="881"/>
      <c r="IV37" s="1148"/>
      <c r="IW37" s="880"/>
      <c r="IX37" s="881"/>
      <c r="IY37" s="1149"/>
      <c r="IZ37" s="880"/>
      <c r="JA37" s="881"/>
      <c r="JB37" s="986"/>
      <c r="JC37" s="863"/>
      <c r="JD37" s="986"/>
      <c r="JE37" s="863"/>
      <c r="JF37" s="848"/>
      <c r="JG37" s="880"/>
      <c r="JH37" s="881"/>
      <c r="JI37" s="847"/>
      <c r="JJ37" s="880"/>
      <c r="JK37" s="881"/>
      <c r="JL37" s="848"/>
      <c r="JM37" s="880"/>
      <c r="JN37" s="881"/>
      <c r="JO37" s="847"/>
      <c r="JP37" s="880"/>
      <c r="JQ37" s="881"/>
      <c r="JR37" s="868"/>
      <c r="JS37" s="880"/>
      <c r="JT37" s="881"/>
      <c r="JU37" s="847"/>
      <c r="JV37" s="829"/>
      <c r="JW37" s="881"/>
      <c r="JX37" s="848"/>
      <c r="JY37" s="829"/>
      <c r="JZ37" s="881"/>
      <c r="KA37" s="847"/>
      <c r="KB37" s="829"/>
      <c r="KC37" s="881"/>
      <c r="KD37" s="986"/>
      <c r="KE37" s="829"/>
      <c r="KF37" s="881"/>
      <c r="KG37" s="863"/>
      <c r="KH37" s="829"/>
      <c r="KI37" s="881"/>
      <c r="KJ37" s="863"/>
      <c r="KK37" s="829"/>
      <c r="KL37" s="881"/>
      <c r="KM37" s="863"/>
      <c r="KN37" s="829"/>
      <c r="KO37" s="881"/>
      <c r="KP37" s="848"/>
      <c r="KQ37" s="859"/>
      <c r="KR37" s="988"/>
      <c r="KS37" s="859"/>
      <c r="KT37" s="988"/>
      <c r="KU37" s="847"/>
      <c r="KV37" s="859"/>
      <c r="KW37" s="988"/>
      <c r="KX37" s="859"/>
      <c r="KY37" s="988"/>
      <c r="KZ37" s="848"/>
      <c r="LA37" s="880"/>
      <c r="LB37" s="881"/>
      <c r="LC37" s="880"/>
      <c r="LD37" s="881"/>
      <c r="LE37" s="847"/>
      <c r="LF37" s="859"/>
      <c r="LG37" s="988"/>
      <c r="LH37" s="859"/>
      <c r="LI37" s="988"/>
      <c r="LJ37" s="989"/>
      <c r="LK37" s="880"/>
      <c r="LL37" s="881"/>
      <c r="LM37" s="870"/>
      <c r="LN37" s="858"/>
      <c r="LO37" s="881"/>
      <c r="LP37" s="870"/>
      <c r="LQ37" s="880"/>
      <c r="LR37" s="987"/>
      <c r="LS37" s="870"/>
      <c r="LT37" s="829"/>
      <c r="LU37" s="881"/>
      <c r="LV37" s="847"/>
      <c r="LW37" s="859"/>
      <c r="LX37" s="859"/>
      <c r="LY37" s="988"/>
      <c r="LZ37" s="847"/>
      <c r="MA37" s="859"/>
      <c r="MB37" s="859"/>
      <c r="MC37" s="988"/>
      <c r="MD37" s="847"/>
      <c r="ME37" s="859"/>
      <c r="MF37" s="859"/>
      <c r="MG37" s="988"/>
      <c r="MH37" s="847"/>
      <c r="MI37" s="859"/>
      <c r="MJ37" s="859"/>
      <c r="MK37" s="988"/>
      <c r="ML37" s="863"/>
      <c r="MM37" s="859"/>
      <c r="MN37" s="859"/>
      <c r="MO37" s="988"/>
      <c r="MP37" s="863"/>
      <c r="MQ37" s="859"/>
      <c r="MR37" s="859"/>
      <c r="MS37" s="988"/>
      <c r="MT37" s="863"/>
      <c r="MU37" s="859"/>
      <c r="MV37" s="859"/>
      <c r="MW37" s="988"/>
      <c r="MX37" s="863"/>
      <c r="MY37" s="859"/>
      <c r="MZ37" s="859"/>
      <c r="NA37" s="988"/>
      <c r="NB37" s="847"/>
      <c r="NC37" s="859"/>
      <c r="ND37" s="988"/>
      <c r="NE37" s="880"/>
      <c r="NF37" s="881"/>
      <c r="NG37" s="990"/>
      <c r="NH37" s="829"/>
      <c r="NI37" s="987"/>
      <c r="NJ37" s="847"/>
      <c r="NK37" s="859"/>
      <c r="NL37" s="988"/>
      <c r="NM37" s="880"/>
      <c r="NN37" s="881"/>
      <c r="NO37" s="859"/>
      <c r="NP37" s="859"/>
      <c r="NQ37" s="881"/>
      <c r="NR37" s="848"/>
      <c r="NS37" s="829"/>
      <c r="NT37" s="891"/>
      <c r="NU37" s="847"/>
      <c r="NV37" s="860"/>
      <c r="NW37" s="881"/>
      <c r="NX37" s="863"/>
      <c r="NY37" s="829"/>
      <c r="NZ37" s="881"/>
      <c r="OA37" s="863"/>
      <c r="OB37" s="829"/>
      <c r="OC37" s="987"/>
      <c r="OD37" s="863"/>
      <c r="OE37" s="829"/>
      <c r="OF37" s="891"/>
      <c r="OG37" s="863"/>
      <c r="OH37" s="829"/>
      <c r="OI37" s="881"/>
      <c r="OJ37" s="890"/>
      <c r="OK37" s="859"/>
      <c r="OL37" s="881"/>
      <c r="OM37" s="882"/>
      <c r="ON37" s="847"/>
      <c r="OO37" s="882"/>
      <c r="OP37" s="881"/>
      <c r="OQ37" s="882"/>
      <c r="OR37" s="847"/>
      <c r="OS37" s="829"/>
      <c r="OT37" s="881"/>
      <c r="OU37" s="829"/>
      <c r="OV37" s="847"/>
      <c r="OW37" s="829"/>
      <c r="OX37" s="881"/>
      <c r="OY37" s="829"/>
      <c r="OZ37" s="847"/>
      <c r="PA37" s="829"/>
      <c r="PB37" s="881"/>
      <c r="PC37" s="829"/>
      <c r="PD37" s="890"/>
      <c r="PE37" s="829"/>
      <c r="PF37" s="881"/>
      <c r="PG37" s="829"/>
      <c r="PH37" s="989"/>
      <c r="PI37" s="880"/>
      <c r="PJ37" s="881"/>
      <c r="PK37" s="829"/>
      <c r="PL37" s="870"/>
      <c r="PM37" s="858"/>
      <c r="PN37" s="881"/>
      <c r="PO37" s="829"/>
      <c r="PP37" s="870"/>
      <c r="PQ37" s="880"/>
      <c r="PR37" s="987"/>
      <c r="PS37" s="829"/>
      <c r="PT37" s="870"/>
      <c r="PU37" s="829"/>
      <c r="PV37" s="881"/>
      <c r="PW37" s="829"/>
      <c r="PX37" s="847"/>
      <c r="PY37" s="859"/>
      <c r="PZ37" s="988"/>
      <c r="QA37" s="859"/>
      <c r="QB37" s="988"/>
      <c r="QC37" s="847"/>
      <c r="QD37" s="859"/>
      <c r="QE37" s="988"/>
      <c r="QF37" s="859"/>
      <c r="QG37" s="988"/>
      <c r="QH37" s="847"/>
      <c r="QI37" s="859"/>
      <c r="QJ37" s="988"/>
      <c r="QK37" s="847"/>
      <c r="QL37" s="859"/>
      <c r="QM37" s="988"/>
      <c r="QN37" s="863"/>
      <c r="QO37" s="859"/>
      <c r="QP37" s="988"/>
      <c r="QQ37" s="863"/>
      <c r="QR37" s="859"/>
      <c r="QS37" s="988"/>
      <c r="QT37" s="863"/>
      <c r="QU37" s="859"/>
      <c r="QV37" s="988"/>
      <c r="QW37" s="863"/>
      <c r="QX37" s="859"/>
      <c r="QY37" s="988"/>
      <c r="QZ37" s="848"/>
      <c r="RA37" s="880"/>
      <c r="RB37" s="881"/>
      <c r="RC37" s="847"/>
      <c r="RD37" s="880"/>
      <c r="RE37" s="881"/>
      <c r="RF37" s="848"/>
      <c r="RG37" s="880"/>
      <c r="RH37" s="881"/>
      <c r="RI37" s="847"/>
      <c r="RJ37" s="880"/>
      <c r="RK37" s="881"/>
      <c r="RL37" s="848"/>
      <c r="RM37" s="880"/>
      <c r="RN37" s="881"/>
      <c r="RO37" s="847"/>
      <c r="RP37" s="880"/>
      <c r="RQ37" s="881"/>
      <c r="RR37" s="986"/>
      <c r="RS37" s="880"/>
      <c r="RT37" s="881"/>
      <c r="RU37" s="863"/>
      <c r="RV37" s="880"/>
      <c r="RW37" s="881"/>
      <c r="RX37" s="986"/>
      <c r="RY37" s="880"/>
      <c r="RZ37" s="881"/>
      <c r="SA37" s="863"/>
      <c r="SB37" s="880"/>
      <c r="SC37" s="881"/>
      <c r="SD37" s="848"/>
      <c r="SE37" s="859"/>
      <c r="SF37" s="881"/>
      <c r="SG37" s="847"/>
      <c r="SH37" s="860"/>
      <c r="SI37" s="881"/>
      <c r="SJ37" s="847"/>
      <c r="SK37" s="859"/>
      <c r="SL37" s="859"/>
      <c r="SM37" s="881"/>
      <c r="SN37" s="847"/>
      <c r="SO37" s="859"/>
      <c r="SP37" s="860"/>
      <c r="SQ37" s="881"/>
      <c r="SR37" s="848"/>
      <c r="SS37" s="859"/>
      <c r="ST37" s="891"/>
      <c r="SU37" s="847"/>
      <c r="SV37" s="860"/>
      <c r="SW37" s="881"/>
      <c r="SX37" s="847"/>
      <c r="SY37" s="859"/>
      <c r="SZ37" s="988"/>
      <c r="TA37" s="859"/>
      <c r="TB37" s="988"/>
      <c r="TC37" s="859"/>
      <c r="TD37" s="988"/>
      <c r="TE37" s="847"/>
      <c r="TF37" s="859"/>
      <c r="TG37" s="988"/>
      <c r="TH37" s="859"/>
      <c r="TI37" s="988"/>
      <c r="TJ37" s="859"/>
      <c r="TK37" s="881"/>
      <c r="TL37" s="847"/>
      <c r="TM37" s="859"/>
      <c r="TN37" s="988"/>
      <c r="TO37" s="859"/>
      <c r="TP37" s="988"/>
      <c r="TQ37" s="859"/>
      <c r="TR37" s="988"/>
      <c r="TS37" s="847"/>
      <c r="TT37" s="859"/>
      <c r="TU37" s="988"/>
      <c r="TV37" s="859"/>
      <c r="TW37" s="988"/>
      <c r="TX37" s="859"/>
      <c r="TY37" s="988"/>
      <c r="TZ37" s="863"/>
      <c r="UA37" s="859"/>
      <c r="UB37" s="988"/>
      <c r="UC37" s="859"/>
      <c r="UD37" s="988"/>
      <c r="UE37" s="859"/>
      <c r="UF37" s="988"/>
      <c r="UG37" s="863"/>
      <c r="UH37" s="859"/>
      <c r="UI37" s="988"/>
      <c r="UJ37" s="859"/>
      <c r="UK37" s="988"/>
      <c r="UL37" s="859"/>
      <c r="UM37" s="988"/>
      <c r="UN37" s="863"/>
      <c r="UO37" s="859"/>
      <c r="UP37" s="988"/>
      <c r="UQ37" s="859"/>
      <c r="UR37" s="988"/>
      <c r="US37" s="859"/>
      <c r="UT37" s="988"/>
      <c r="UU37" s="863"/>
      <c r="UV37" s="859"/>
      <c r="UW37" s="988"/>
      <c r="UX37" s="859"/>
      <c r="UY37" s="988"/>
      <c r="UZ37" s="859"/>
      <c r="VA37" s="988"/>
      <c r="VB37" s="847"/>
      <c r="VC37" s="847"/>
      <c r="VD37" s="847"/>
      <c r="VE37" s="847"/>
      <c r="VF37" s="869"/>
      <c r="VG37" s="870"/>
      <c r="VH37" s="869"/>
      <c r="VI37" s="870"/>
      <c r="VJ37" s="847"/>
      <c r="VK37" s="860"/>
      <c r="VL37" s="859"/>
      <c r="VM37" s="847"/>
      <c r="VN37" s="860"/>
      <c r="VO37" s="882"/>
      <c r="VP37" s="847"/>
      <c r="VQ37" s="868"/>
      <c r="VR37" s="847"/>
      <c r="VS37" s="890"/>
      <c r="VT37" s="868"/>
      <c r="VU37" s="847"/>
      <c r="VV37" s="868"/>
      <c r="VW37" s="847"/>
      <c r="VX37" s="868"/>
      <c r="VY37" s="847"/>
      <c r="VZ37" s="868"/>
      <c r="WA37" s="847"/>
      <c r="WB37" s="890"/>
      <c r="WC37" s="868"/>
      <c r="WD37" s="847"/>
      <c r="WE37" s="890"/>
      <c r="WF37" s="847"/>
      <c r="WG37" s="829"/>
      <c r="WH37" s="891"/>
      <c r="WI37" s="847"/>
      <c r="WJ37" s="829"/>
      <c r="WK37" s="891"/>
      <c r="WL37" s="847"/>
      <c r="WM37" s="860"/>
      <c r="WN37" s="881"/>
      <c r="WO37" s="847"/>
      <c r="WP37" s="829"/>
      <c r="WQ37" s="891"/>
      <c r="WR37" s="847"/>
      <c r="WS37" s="847"/>
      <c r="WT37" s="847"/>
      <c r="WU37" s="860"/>
      <c r="WV37" s="881"/>
      <c r="WW37" s="847"/>
      <c r="WX37" s="860"/>
      <c r="WY37" s="881"/>
      <c r="WZ37" s="847"/>
      <c r="XA37" s="860"/>
      <c r="XB37" s="881"/>
      <c r="XC37" s="847"/>
      <c r="XD37" s="860"/>
      <c r="XE37" s="881"/>
      <c r="XF37" s="847"/>
      <c r="XG37" s="860"/>
      <c r="XH37" s="881"/>
      <c r="XI37" s="847"/>
      <c r="XJ37" s="860"/>
      <c r="XK37" s="881"/>
      <c r="XL37" s="893"/>
      <c r="XM37" s="897"/>
      <c r="XN37" s="893"/>
      <c r="XO37" s="898"/>
      <c r="XP37" s="893"/>
      <c r="XQ37" s="898"/>
      <c r="XR37" s="893"/>
      <c r="XS37" s="898"/>
      <c r="XT37" s="900"/>
      <c r="XU37" s="900"/>
      <c r="XV37" s="900"/>
      <c r="XW37" s="900"/>
      <c r="XX37" s="893"/>
      <c r="XY37" s="897"/>
      <c r="XZ37" s="898"/>
      <c r="YA37" s="898"/>
      <c r="YB37" s="897"/>
      <c r="YC37" s="897"/>
      <c r="YD37" s="898"/>
      <c r="YE37" s="898"/>
      <c r="YF37" s="897"/>
      <c r="YG37" s="898"/>
      <c r="YH37" s="898"/>
      <c r="YI37" s="893"/>
      <c r="YJ37" s="898"/>
      <c r="YK37" s="898"/>
      <c r="YL37" s="897"/>
      <c r="YM37" s="898"/>
      <c r="YN37" s="898"/>
      <c r="YO37" s="898"/>
      <c r="YP37" s="898"/>
      <c r="YQ37" s="897"/>
      <c r="YR37" s="898"/>
      <c r="YS37" s="898"/>
      <c r="YT37" s="847"/>
      <c r="YU37" s="898"/>
      <c r="YV37" s="898"/>
      <c r="YW37" s="898"/>
      <c r="YX37" s="898"/>
      <c r="YY37" s="901"/>
      <c r="YZ37" s="847"/>
      <c r="ZA37" s="898"/>
      <c r="ZB37" s="898"/>
      <c r="ZC37" s="898"/>
      <c r="ZD37" s="898"/>
      <c r="ZE37" s="901"/>
      <c r="ZF37" s="863"/>
      <c r="ZG37" s="898"/>
      <c r="ZH37" s="898"/>
      <c r="ZI37" s="898"/>
      <c r="ZJ37" s="898"/>
      <c r="ZK37" s="898"/>
      <c r="ZL37" s="863"/>
      <c r="ZM37" s="898"/>
      <c r="ZN37" s="898"/>
      <c r="ZO37" s="898"/>
      <c r="ZP37" s="898"/>
      <c r="ZQ37" s="898"/>
      <c r="ZR37" s="863"/>
      <c r="ZS37" s="898"/>
      <c r="ZT37" s="898"/>
      <c r="ZU37" s="898"/>
      <c r="ZV37" s="898"/>
      <c r="ZW37" s="901"/>
      <c r="ZX37" s="863"/>
      <c r="ZY37" s="898"/>
      <c r="ZZ37" s="898"/>
      <c r="AAA37" s="898"/>
      <c r="AAB37" s="898"/>
      <c r="AAC37" s="901"/>
      <c r="AAD37" s="892"/>
      <c r="AAE37" s="893"/>
      <c r="AAF37" s="893"/>
      <c r="AAG37" s="893"/>
      <c r="AAH37" s="893"/>
      <c r="AAI37" s="893"/>
      <c r="AAJ37" s="907"/>
      <c r="AAK37" s="907"/>
      <c r="AAL37" s="907"/>
      <c r="AAM37" s="907"/>
      <c r="AAN37" s="893"/>
      <c r="AAO37" s="893"/>
      <c r="AAP37" s="893"/>
      <c r="AAQ37" s="893"/>
      <c r="AAR37" s="907"/>
      <c r="AAS37" s="907"/>
      <c r="AAT37" s="907"/>
      <c r="AAU37" s="907"/>
      <c r="AAV37" s="1246">
        <f>'Проверочная  таблица'!AAN37+'Проверочная  таблица'!AAP37</f>
        <v>0</v>
      </c>
      <c r="AAW37" s="1246">
        <f>'Проверочная  таблица'!AAO37+'Проверочная  таблица'!AAQ37</f>
        <v>0</v>
      </c>
    </row>
    <row r="38" spans="1:725" ht="24" customHeight="1" thickBot="1" x14ac:dyDescent="0.3">
      <c r="A38" s="991" t="s">
        <v>8</v>
      </c>
      <c r="B38" s="847">
        <f t="shared" ref="B38:BR38" si="450">B31+B35</f>
        <v>45228557265.040001</v>
      </c>
      <c r="C38" s="847">
        <f t="shared" si="450"/>
        <v>18438567515.25</v>
      </c>
      <c r="D38" s="848">
        <f t="shared" si="450"/>
        <v>7740447630.8400011</v>
      </c>
      <c r="E38" s="848">
        <f t="shared" si="450"/>
        <v>3220096364.3299999</v>
      </c>
      <c r="F38" s="847">
        <f t="shared" si="450"/>
        <v>2811219094.3000002</v>
      </c>
      <c r="G38" s="890">
        <f t="shared" si="450"/>
        <v>1355580535.9099998</v>
      </c>
      <c r="H38" s="868">
        <f t="shared" si="450"/>
        <v>593090602.53999996</v>
      </c>
      <c r="I38" s="847">
        <f t="shared" si="450"/>
        <v>304169347.85000002</v>
      </c>
      <c r="J38" s="869">
        <f t="shared" si="450"/>
        <v>442904535.07999998</v>
      </c>
      <c r="K38" s="870">
        <f t="shared" si="450"/>
        <v>228915137.84999999</v>
      </c>
      <c r="L38" s="869">
        <f t="shared" si="450"/>
        <v>150186067.45999998</v>
      </c>
      <c r="M38" s="870">
        <f t="shared" si="450"/>
        <v>75254210</v>
      </c>
      <c r="N38" s="868">
        <f t="shared" si="450"/>
        <v>3159206314.0000005</v>
      </c>
      <c r="O38" s="847">
        <f t="shared" si="450"/>
        <v>1067147247</v>
      </c>
      <c r="P38" s="868">
        <f t="shared" si="450"/>
        <v>1149431620</v>
      </c>
      <c r="Q38" s="847">
        <f t="shared" si="450"/>
        <v>478999233.56999999</v>
      </c>
      <c r="R38" s="869">
        <f t="shared" si="450"/>
        <v>601255632</v>
      </c>
      <c r="S38" s="870">
        <f t="shared" si="450"/>
        <v>274338805.56999999</v>
      </c>
      <c r="T38" s="869">
        <f t="shared" si="450"/>
        <v>548175988</v>
      </c>
      <c r="U38" s="870">
        <f t="shared" si="450"/>
        <v>204660428</v>
      </c>
      <c r="V38" s="847">
        <f t="shared" ref="V38" si="451">V31+V35</f>
        <v>16000000</v>
      </c>
      <c r="W38" s="858">
        <f t="shared" ref="W38" si="452">W31+W35</f>
        <v>6000000</v>
      </c>
      <c r="X38" s="829">
        <f t="shared" ref="X38:Y38" si="453">X31+X35</f>
        <v>10000000</v>
      </c>
      <c r="Y38" s="829">
        <f t="shared" si="453"/>
        <v>0</v>
      </c>
      <c r="Z38" s="847">
        <f t="shared" si="450"/>
        <v>14200000</v>
      </c>
      <c r="AA38" s="858">
        <f t="shared" si="450"/>
        <v>6000000</v>
      </c>
      <c r="AB38" s="859">
        <f t="shared" si="450"/>
        <v>8200000</v>
      </c>
      <c r="AC38" s="889">
        <f t="shared" si="450"/>
        <v>0</v>
      </c>
      <c r="AD38" s="847">
        <f t="shared" ref="AD38" si="454">AD31+AD35</f>
        <v>11500000</v>
      </c>
      <c r="AE38" s="860">
        <f t="shared" ref="AE38:AF38" si="455">AE31+AE35</f>
        <v>8500000</v>
      </c>
      <c r="AF38" s="859">
        <f t="shared" si="455"/>
        <v>3000000</v>
      </c>
      <c r="AG38" s="847">
        <f t="shared" si="450"/>
        <v>0</v>
      </c>
      <c r="AH38" s="860">
        <f t="shared" si="450"/>
        <v>0</v>
      </c>
      <c r="AI38" s="859">
        <f t="shared" si="450"/>
        <v>0</v>
      </c>
      <c r="AJ38" s="869">
        <f t="shared" si="450"/>
        <v>8500000</v>
      </c>
      <c r="AK38" s="870">
        <f t="shared" si="450"/>
        <v>0</v>
      </c>
      <c r="AL38" s="869">
        <f t="shared" si="450"/>
        <v>3000000</v>
      </c>
      <c r="AM38" s="870">
        <f t="shared" si="450"/>
        <v>0</v>
      </c>
      <c r="AN38" s="849">
        <f t="shared" si="450"/>
        <v>17948425365.669998</v>
      </c>
      <c r="AO38" s="848">
        <f t="shared" si="450"/>
        <v>4780298780.6099997</v>
      </c>
      <c r="AP38" s="857">
        <f t="shared" si="450"/>
        <v>922225929.78000009</v>
      </c>
      <c r="AQ38" s="877">
        <f t="shared" si="450"/>
        <v>865675729.78000009</v>
      </c>
      <c r="AR38" s="864">
        <f t="shared" si="450"/>
        <v>56550200</v>
      </c>
      <c r="AS38" s="857">
        <f t="shared" si="450"/>
        <v>141584288.18999997</v>
      </c>
      <c r="AT38" s="864">
        <f t="shared" si="450"/>
        <v>141584288.18999997</v>
      </c>
      <c r="AU38" s="864">
        <f t="shared" si="450"/>
        <v>0</v>
      </c>
      <c r="AV38" s="848">
        <f t="shared" si="450"/>
        <v>91624576.299999997</v>
      </c>
      <c r="AW38" s="864">
        <f t="shared" si="450"/>
        <v>91624576.299999997</v>
      </c>
      <c r="AX38" s="848">
        <f t="shared" si="450"/>
        <v>0</v>
      </c>
      <c r="AY38" s="864">
        <f t="shared" si="450"/>
        <v>0</v>
      </c>
      <c r="AZ38" s="863">
        <f t="shared" si="450"/>
        <v>91624576.299999997</v>
      </c>
      <c r="BA38" s="883">
        <f t="shared" si="450"/>
        <v>91624576.299999997</v>
      </c>
      <c r="BB38" s="986">
        <f t="shared" si="450"/>
        <v>0</v>
      </c>
      <c r="BC38" s="864">
        <f t="shared" si="450"/>
        <v>0</v>
      </c>
      <c r="BD38" s="863">
        <f t="shared" si="450"/>
        <v>0</v>
      </c>
      <c r="BE38" s="864">
        <f t="shared" si="450"/>
        <v>0</v>
      </c>
      <c r="BF38" s="863">
        <f t="shared" si="450"/>
        <v>0</v>
      </c>
      <c r="BG38" s="864">
        <f t="shared" si="450"/>
        <v>0</v>
      </c>
      <c r="BH38" s="857">
        <f t="shared" si="450"/>
        <v>255606876.99000001</v>
      </c>
      <c r="BI38" s="864">
        <f t="shared" si="450"/>
        <v>255606876.99000001</v>
      </c>
      <c r="BJ38" s="857">
        <f t="shared" si="450"/>
        <v>6984132.5199999996</v>
      </c>
      <c r="BK38" s="883">
        <f t="shared" si="450"/>
        <v>6984132.5199999996</v>
      </c>
      <c r="BL38" s="857">
        <f t="shared" si="450"/>
        <v>212375065.56999999</v>
      </c>
      <c r="BM38" s="864">
        <f t="shared" si="450"/>
        <v>212375065.56999999</v>
      </c>
      <c r="BN38" s="857">
        <f t="shared" si="450"/>
        <v>59325881.299999997</v>
      </c>
      <c r="BO38" s="864">
        <f t="shared" si="450"/>
        <v>59325881.299999997</v>
      </c>
      <c r="BP38" s="866">
        <f t="shared" si="450"/>
        <v>0</v>
      </c>
      <c r="BQ38" s="866">
        <f t="shared" si="450"/>
        <v>0</v>
      </c>
      <c r="BR38" s="866">
        <f t="shared" si="450"/>
        <v>212375065.56999999</v>
      </c>
      <c r="BS38" s="866">
        <f t="shared" ref="BS38:EH38" si="456">BS31+BS35</f>
        <v>59325881.299999997</v>
      </c>
      <c r="BT38" s="868">
        <f t="shared" si="456"/>
        <v>0</v>
      </c>
      <c r="BU38" s="857">
        <f t="shared" si="456"/>
        <v>0</v>
      </c>
      <c r="BV38" s="868">
        <f t="shared" si="456"/>
        <v>0</v>
      </c>
      <c r="BW38" s="857">
        <f t="shared" si="456"/>
        <v>0</v>
      </c>
      <c r="BX38" s="869">
        <f t="shared" si="456"/>
        <v>0</v>
      </c>
      <c r="BY38" s="866">
        <f t="shared" si="456"/>
        <v>0</v>
      </c>
      <c r="BZ38" s="869">
        <f t="shared" si="456"/>
        <v>0</v>
      </c>
      <c r="CA38" s="866">
        <f t="shared" si="456"/>
        <v>0</v>
      </c>
      <c r="CB38" s="849">
        <f t="shared" ref="CB38:CG38" si="457">CB31+CB35</f>
        <v>1219110729.78</v>
      </c>
      <c r="CC38" s="864">
        <f t="shared" si="457"/>
        <v>903434729.78000009</v>
      </c>
      <c r="CD38" s="864">
        <f t="shared" si="457"/>
        <v>315676000</v>
      </c>
      <c r="CE38" s="857">
        <f t="shared" si="457"/>
        <v>3599000</v>
      </c>
      <c r="CF38" s="864">
        <f t="shared" si="457"/>
        <v>0</v>
      </c>
      <c r="CG38" s="864">
        <f t="shared" si="457"/>
        <v>3599000</v>
      </c>
      <c r="CH38" s="856">
        <f t="shared" si="456"/>
        <v>115116800</v>
      </c>
      <c r="CI38" s="857">
        <f t="shared" si="456"/>
        <v>0</v>
      </c>
      <c r="CJ38" s="849">
        <f t="shared" si="456"/>
        <v>0</v>
      </c>
      <c r="CK38" s="849">
        <f t="shared" si="456"/>
        <v>0</v>
      </c>
      <c r="CL38" s="873">
        <f t="shared" si="456"/>
        <v>0</v>
      </c>
      <c r="CM38" s="873">
        <f t="shared" si="456"/>
        <v>0</v>
      </c>
      <c r="CN38" s="873">
        <f t="shared" si="456"/>
        <v>0</v>
      </c>
      <c r="CO38" s="873">
        <f t="shared" si="456"/>
        <v>0</v>
      </c>
      <c r="CP38" s="849">
        <f t="shared" si="456"/>
        <v>448892396.15999991</v>
      </c>
      <c r="CQ38" s="864">
        <f t="shared" si="456"/>
        <v>251003026.90000001</v>
      </c>
      <c r="CR38" s="864">
        <f t="shared" si="456"/>
        <v>197889369.26000002</v>
      </c>
      <c r="CS38" s="857">
        <f t="shared" si="456"/>
        <v>1698440.66</v>
      </c>
      <c r="CT38" s="864">
        <f t="shared" si="456"/>
        <v>0</v>
      </c>
      <c r="CU38" s="864">
        <f t="shared" si="456"/>
        <v>1698440.66</v>
      </c>
      <c r="CV38" s="849">
        <f t="shared" si="456"/>
        <v>1157958249.8900001</v>
      </c>
      <c r="CW38" s="859">
        <f t="shared" si="456"/>
        <v>1888529.1099999999</v>
      </c>
      <c r="CX38" s="891">
        <f t="shared" si="456"/>
        <v>22014164.57</v>
      </c>
      <c r="CY38" s="864">
        <f>CY31+CY35</f>
        <v>52315349</v>
      </c>
      <c r="CZ38" s="881">
        <f>CZ31+CZ35</f>
        <v>995702200</v>
      </c>
      <c r="DA38" s="864">
        <f t="shared" ref="DA38:DB38" si="458">DA31+DA35</f>
        <v>10692264.01</v>
      </c>
      <c r="DB38" s="881">
        <f t="shared" si="458"/>
        <v>75345743.200000003</v>
      </c>
      <c r="DC38" s="857">
        <f t="shared" si="456"/>
        <v>302171873.48000002</v>
      </c>
      <c r="DD38" s="877">
        <f t="shared" si="456"/>
        <v>0</v>
      </c>
      <c r="DE38" s="987">
        <f t="shared" si="456"/>
        <v>0</v>
      </c>
      <c r="DF38" s="864">
        <f t="shared" si="456"/>
        <v>11697924.83</v>
      </c>
      <c r="DG38" s="881">
        <f t="shared" si="456"/>
        <v>222265057.01999998</v>
      </c>
      <c r="DH38" s="864">
        <f t="shared" si="456"/>
        <v>3410449.79</v>
      </c>
      <c r="DI38" s="881">
        <f t="shared" si="456"/>
        <v>64798441.840000004</v>
      </c>
      <c r="DJ38" s="849">
        <f t="shared" si="456"/>
        <v>19567142.100000001</v>
      </c>
      <c r="DK38" s="859">
        <f t="shared" si="456"/>
        <v>3729042.1000000015</v>
      </c>
      <c r="DL38" s="891">
        <f t="shared" si="456"/>
        <v>15838100</v>
      </c>
      <c r="DM38" s="857">
        <f t="shared" si="456"/>
        <v>0</v>
      </c>
      <c r="DN38" s="859">
        <f t="shared" si="456"/>
        <v>0</v>
      </c>
      <c r="DO38" s="988">
        <f t="shared" si="456"/>
        <v>0</v>
      </c>
      <c r="DP38" s="867">
        <f t="shared" si="456"/>
        <v>0</v>
      </c>
      <c r="DQ38" s="866">
        <f t="shared" si="456"/>
        <v>0</v>
      </c>
      <c r="DR38" s="867">
        <f t="shared" si="456"/>
        <v>19567142.100000001</v>
      </c>
      <c r="DS38" s="866">
        <f t="shared" si="456"/>
        <v>0</v>
      </c>
      <c r="DT38" s="856">
        <f t="shared" si="456"/>
        <v>17900000</v>
      </c>
      <c r="DU38" s="829">
        <f t="shared" si="456"/>
        <v>9900000</v>
      </c>
      <c r="DV38" s="858">
        <f t="shared" si="456"/>
        <v>8000000</v>
      </c>
      <c r="DW38" s="829">
        <f t="shared" si="456"/>
        <v>0</v>
      </c>
      <c r="DX38" s="857">
        <f t="shared" si="456"/>
        <v>8408000</v>
      </c>
      <c r="DY38" s="829">
        <f t="shared" si="456"/>
        <v>4210000</v>
      </c>
      <c r="DZ38" s="861">
        <f t="shared" si="456"/>
        <v>4198000</v>
      </c>
      <c r="EA38" s="861">
        <f t="shared" si="456"/>
        <v>0</v>
      </c>
      <c r="EB38" s="849">
        <f t="shared" si="456"/>
        <v>6297684.2199999997</v>
      </c>
      <c r="EC38" s="859">
        <f t="shared" si="456"/>
        <v>314884.21999999974</v>
      </c>
      <c r="ED38" s="891">
        <f t="shared" si="456"/>
        <v>5982800</v>
      </c>
      <c r="EE38" s="857">
        <f t="shared" si="456"/>
        <v>0</v>
      </c>
      <c r="EF38" s="877">
        <f t="shared" si="456"/>
        <v>0</v>
      </c>
      <c r="EG38" s="881">
        <f t="shared" si="456"/>
        <v>0</v>
      </c>
      <c r="EH38" s="849">
        <f t="shared" si="456"/>
        <v>0</v>
      </c>
      <c r="EI38" s="883">
        <f t="shared" ref="EI38:EY38" si="459">EI31+EI35</f>
        <v>0</v>
      </c>
      <c r="EJ38" s="876">
        <f t="shared" si="459"/>
        <v>0</v>
      </c>
      <c r="EK38" s="857">
        <f t="shared" si="459"/>
        <v>0</v>
      </c>
      <c r="EL38" s="883">
        <f t="shared" si="459"/>
        <v>0</v>
      </c>
      <c r="EM38" s="876">
        <f t="shared" si="459"/>
        <v>0</v>
      </c>
      <c r="EN38" s="849">
        <f t="shared" si="459"/>
        <v>1207687968.96</v>
      </c>
      <c r="EO38" s="859">
        <f t="shared" si="459"/>
        <v>319132705.80000001</v>
      </c>
      <c r="EP38" s="859">
        <f t="shared" si="459"/>
        <v>44427763.159999996</v>
      </c>
      <c r="EQ38" s="988">
        <f t="shared" si="459"/>
        <v>844127500</v>
      </c>
      <c r="ER38" s="849">
        <f t="shared" si="459"/>
        <v>422982866.41999996</v>
      </c>
      <c r="ES38" s="859">
        <f t="shared" si="459"/>
        <v>121024.36</v>
      </c>
      <c r="ET38" s="859">
        <f t="shared" si="459"/>
        <v>21143092.100000001</v>
      </c>
      <c r="EU38" s="988">
        <f t="shared" si="459"/>
        <v>401718749.95999998</v>
      </c>
      <c r="EV38" s="849">
        <f t="shared" si="459"/>
        <v>203670416.71000001</v>
      </c>
      <c r="EW38" s="859">
        <f t="shared" si="459"/>
        <v>6058780</v>
      </c>
      <c r="EX38" s="891">
        <f t="shared" si="459"/>
        <v>197611636.71000001</v>
      </c>
      <c r="EY38" s="857">
        <f t="shared" si="459"/>
        <v>109618863.97</v>
      </c>
      <c r="EZ38" s="859">
        <f t="shared" ref="EZ38:FA38" si="460">EZ31+EZ35</f>
        <v>5480944.0999999996</v>
      </c>
      <c r="FA38" s="891">
        <f t="shared" si="460"/>
        <v>104137919.87</v>
      </c>
      <c r="FB38" s="849">
        <f t="shared" ref="FB38:HB38" si="461">FB31+FB35</f>
        <v>21405417.310000002</v>
      </c>
      <c r="FC38" s="859">
        <f t="shared" si="461"/>
        <v>5587091.4900000021</v>
      </c>
      <c r="FD38" s="891">
        <f t="shared" si="461"/>
        <v>15818325.819999998</v>
      </c>
      <c r="FE38" s="857">
        <f t="shared" si="461"/>
        <v>0</v>
      </c>
      <c r="FF38" s="859">
        <f t="shared" si="461"/>
        <v>0</v>
      </c>
      <c r="FG38" s="988">
        <f t="shared" si="461"/>
        <v>0</v>
      </c>
      <c r="FH38" s="849">
        <f t="shared" si="461"/>
        <v>3880682.69</v>
      </c>
      <c r="FI38" s="859">
        <f t="shared" si="461"/>
        <v>1012908.5099999999</v>
      </c>
      <c r="FJ38" s="891">
        <f t="shared" si="461"/>
        <v>2867774.1799999997</v>
      </c>
      <c r="FK38" s="857">
        <f t="shared" si="461"/>
        <v>842629.03</v>
      </c>
      <c r="FL38" s="859">
        <f t="shared" si="461"/>
        <v>219937.09999999998</v>
      </c>
      <c r="FM38" s="988">
        <f t="shared" si="461"/>
        <v>622691.93000000005</v>
      </c>
      <c r="FN38" s="873">
        <f t="shared" si="461"/>
        <v>3880682.69</v>
      </c>
      <c r="FO38" s="859">
        <f t="shared" si="461"/>
        <v>1012908.5099999999</v>
      </c>
      <c r="FP38" s="891">
        <f t="shared" si="461"/>
        <v>2867774.1799999997</v>
      </c>
      <c r="FQ38" s="862">
        <f t="shared" si="461"/>
        <v>842629.03</v>
      </c>
      <c r="FR38" s="859">
        <f t="shared" si="461"/>
        <v>219937.09999999998</v>
      </c>
      <c r="FS38" s="988">
        <f t="shared" si="461"/>
        <v>622691.93000000005</v>
      </c>
      <c r="FT38" s="873">
        <f t="shared" si="461"/>
        <v>0</v>
      </c>
      <c r="FU38" s="859">
        <f t="shared" si="461"/>
        <v>0</v>
      </c>
      <c r="FV38" s="891">
        <f t="shared" si="461"/>
        <v>0</v>
      </c>
      <c r="FW38" s="862">
        <f t="shared" si="461"/>
        <v>0</v>
      </c>
      <c r="FX38" s="859">
        <f t="shared" si="461"/>
        <v>0</v>
      </c>
      <c r="FY38" s="988">
        <f t="shared" si="461"/>
        <v>0</v>
      </c>
      <c r="FZ38" s="849">
        <f t="shared" si="461"/>
        <v>0</v>
      </c>
      <c r="GA38" s="864">
        <f>GA31+GA35</f>
        <v>0</v>
      </c>
      <c r="GB38" s="878">
        <f>GB31+GB35</f>
        <v>0</v>
      </c>
      <c r="GC38" s="849">
        <f t="shared" ref="GC38" si="462">GC31+GC35</f>
        <v>0</v>
      </c>
      <c r="GD38" s="883">
        <f>GD31+GD35</f>
        <v>0</v>
      </c>
      <c r="GE38" s="876">
        <f>GE31+GE35</f>
        <v>0</v>
      </c>
      <c r="GF38" s="849">
        <f t="shared" ref="GF38" si="463">GF31+GF35</f>
        <v>200118022.88999996</v>
      </c>
      <c r="GG38" s="864">
        <f>GG31+GG35</f>
        <v>43030642.659999982</v>
      </c>
      <c r="GH38" s="878">
        <f>GH31+GH35</f>
        <v>157087380.22999999</v>
      </c>
      <c r="GI38" s="849">
        <f t="shared" ref="GI38" si="464">GI31+GI35</f>
        <v>53185653.219999999</v>
      </c>
      <c r="GJ38" s="883">
        <f>GJ31+GJ35</f>
        <v>2659293.25</v>
      </c>
      <c r="GK38" s="876">
        <f>GK31+GK35</f>
        <v>50526359.969999999</v>
      </c>
      <c r="GL38" s="873">
        <f t="shared" ref="GL38" si="465">GL31+GL35</f>
        <v>87446506</v>
      </c>
      <c r="GM38" s="864">
        <f>GM31+GM35</f>
        <v>10402506</v>
      </c>
      <c r="GN38" s="878">
        <f>GN31+GN35</f>
        <v>77044000</v>
      </c>
      <c r="GO38" s="873">
        <f t="shared" ref="GO38" si="466">GO31+GO35</f>
        <v>0</v>
      </c>
      <c r="GP38" s="883">
        <f>GP31+GP35</f>
        <v>0</v>
      </c>
      <c r="GQ38" s="876">
        <f>GQ31+GQ35</f>
        <v>0</v>
      </c>
      <c r="GR38" s="873">
        <f t="shared" ref="GR38:GS38" si="467">GR31+GR35</f>
        <v>0</v>
      </c>
      <c r="GS38" s="873">
        <f t="shared" si="467"/>
        <v>0</v>
      </c>
      <c r="GT38" s="873">
        <f t="shared" ref="GT38:GU38" si="468">GT31+GT35</f>
        <v>87446506</v>
      </c>
      <c r="GU38" s="873">
        <f t="shared" si="468"/>
        <v>0</v>
      </c>
      <c r="GV38" s="849">
        <f t="shared" si="461"/>
        <v>1981657935.8899999</v>
      </c>
      <c r="GW38" s="880">
        <f t="shared" si="461"/>
        <v>13685959.390000001</v>
      </c>
      <c r="GX38" s="881">
        <f t="shared" si="461"/>
        <v>335298439.97000003</v>
      </c>
      <c r="GY38" s="864">
        <f>GY31+GY35</f>
        <v>1632673536.5300002</v>
      </c>
      <c r="GZ38" s="857">
        <f t="shared" si="461"/>
        <v>574558345.93999994</v>
      </c>
      <c r="HA38" s="880">
        <f t="shared" si="461"/>
        <v>7396800</v>
      </c>
      <c r="HB38" s="881">
        <f t="shared" si="461"/>
        <v>140539200</v>
      </c>
      <c r="HC38" s="864">
        <f>HC31+HC35</f>
        <v>426622345.93999994</v>
      </c>
      <c r="HD38" s="873">
        <f t="shared" ref="HD38:HF38" si="469">HD31+HD35</f>
        <v>123288200</v>
      </c>
      <c r="HE38" s="864">
        <f>HE31+HE35</f>
        <v>123288200</v>
      </c>
      <c r="HF38" s="873">
        <f t="shared" si="469"/>
        <v>83537191.079999998</v>
      </c>
      <c r="HG38" s="864">
        <f>HG31+HG35</f>
        <v>83537191.079999998</v>
      </c>
      <c r="HH38" s="873">
        <f t="shared" ref="HH38:KC38" si="470">HH31+HH35</f>
        <v>0</v>
      </c>
      <c r="HI38" s="873">
        <f t="shared" si="470"/>
        <v>0</v>
      </c>
      <c r="HJ38" s="873">
        <f t="shared" si="470"/>
        <v>123288200</v>
      </c>
      <c r="HK38" s="873">
        <f t="shared" si="470"/>
        <v>83537191.079999998</v>
      </c>
      <c r="HL38" s="849">
        <f t="shared" si="470"/>
        <v>1530298331.28</v>
      </c>
      <c r="HM38" s="880">
        <f t="shared" si="470"/>
        <v>125559210.77000001</v>
      </c>
      <c r="HN38" s="881">
        <f t="shared" si="470"/>
        <v>1404739120.51</v>
      </c>
      <c r="HO38" s="857">
        <f t="shared" si="470"/>
        <v>602248163</v>
      </c>
      <c r="HP38" s="880">
        <f t="shared" si="470"/>
        <v>30112413.84</v>
      </c>
      <c r="HQ38" s="881">
        <f t="shared" si="470"/>
        <v>572135749.15999997</v>
      </c>
      <c r="HR38" s="849">
        <f t="shared" si="470"/>
        <v>8862344.3799999878</v>
      </c>
      <c r="HS38" s="880">
        <f t="shared" si="470"/>
        <v>8862344.3799999878</v>
      </c>
      <c r="HT38" s="881">
        <f t="shared" si="470"/>
        <v>0</v>
      </c>
      <c r="HU38" s="857">
        <f t="shared" si="470"/>
        <v>0</v>
      </c>
      <c r="HV38" s="880">
        <f t="shared" si="470"/>
        <v>0</v>
      </c>
      <c r="HW38" s="881">
        <f t="shared" si="470"/>
        <v>0</v>
      </c>
      <c r="HX38" s="849">
        <f t="shared" si="470"/>
        <v>169455019.44999999</v>
      </c>
      <c r="HY38" s="880">
        <f t="shared" si="470"/>
        <v>1661708.0899999999</v>
      </c>
      <c r="HZ38" s="881">
        <f t="shared" si="470"/>
        <v>167793311.36000001</v>
      </c>
      <c r="IA38" s="857">
        <f t="shared" si="470"/>
        <v>145678877.52999997</v>
      </c>
      <c r="IB38" s="880">
        <f t="shared" si="470"/>
        <v>1456788.79</v>
      </c>
      <c r="IC38" s="881">
        <f t="shared" si="470"/>
        <v>144222088.74000001</v>
      </c>
      <c r="ID38" s="873">
        <f t="shared" si="470"/>
        <v>0</v>
      </c>
      <c r="IE38" s="859">
        <f t="shared" si="470"/>
        <v>-3284211.3599999994</v>
      </c>
      <c r="IF38" s="891">
        <f t="shared" si="470"/>
        <v>3284211.3599999994</v>
      </c>
      <c r="IG38" s="862">
        <f t="shared" si="470"/>
        <v>0</v>
      </c>
      <c r="IH38" s="859">
        <f t="shared" si="470"/>
        <v>0</v>
      </c>
      <c r="II38" s="988">
        <f t="shared" si="470"/>
        <v>0</v>
      </c>
      <c r="IJ38" s="873">
        <f t="shared" si="470"/>
        <v>169455019.44999999</v>
      </c>
      <c r="IK38" s="859">
        <f t="shared" si="470"/>
        <v>4945919.4499999993</v>
      </c>
      <c r="IL38" s="891">
        <f t="shared" si="470"/>
        <v>164509100</v>
      </c>
      <c r="IM38" s="862">
        <f t="shared" si="470"/>
        <v>145678877.52999997</v>
      </c>
      <c r="IN38" s="859">
        <f t="shared" si="470"/>
        <v>1456788.79</v>
      </c>
      <c r="IO38" s="988">
        <f t="shared" si="470"/>
        <v>144222088.74000001</v>
      </c>
      <c r="IP38" s="849">
        <f t="shared" si="470"/>
        <v>0</v>
      </c>
      <c r="IQ38" s="880">
        <f t="shared" si="470"/>
        <v>0</v>
      </c>
      <c r="IR38" s="881">
        <f t="shared" si="470"/>
        <v>0</v>
      </c>
      <c r="IS38" s="857">
        <f t="shared" si="470"/>
        <v>0</v>
      </c>
      <c r="IT38" s="880">
        <f t="shared" si="470"/>
        <v>0</v>
      </c>
      <c r="IU38" s="881">
        <f t="shared" si="470"/>
        <v>0</v>
      </c>
      <c r="IV38" s="1145">
        <f t="shared" ref="IV38:JA38" si="471">IV31+IV35</f>
        <v>2631578.9500000002</v>
      </c>
      <c r="IW38" s="880">
        <f t="shared" si="471"/>
        <v>131578.95000000001</v>
      </c>
      <c r="IX38" s="881">
        <f t="shared" si="471"/>
        <v>2500000</v>
      </c>
      <c r="IY38" s="1144">
        <f t="shared" si="471"/>
        <v>0</v>
      </c>
      <c r="IZ38" s="880">
        <f t="shared" si="471"/>
        <v>0</v>
      </c>
      <c r="JA38" s="881">
        <f t="shared" si="471"/>
        <v>0</v>
      </c>
      <c r="JB38" s="873">
        <f t="shared" ref="JB38:JE38" si="472">JB31+JB35</f>
        <v>0</v>
      </c>
      <c r="JC38" s="862">
        <f t="shared" si="472"/>
        <v>0</v>
      </c>
      <c r="JD38" s="873">
        <f t="shared" si="472"/>
        <v>2631578.9500000002</v>
      </c>
      <c r="JE38" s="862">
        <f t="shared" si="472"/>
        <v>0</v>
      </c>
      <c r="JF38" s="849">
        <f t="shared" si="470"/>
        <v>23000000</v>
      </c>
      <c r="JG38" s="880">
        <f t="shared" si="470"/>
        <v>1150000</v>
      </c>
      <c r="JH38" s="881">
        <f t="shared" si="470"/>
        <v>21850000</v>
      </c>
      <c r="JI38" s="857">
        <f t="shared" si="470"/>
        <v>592914.24</v>
      </c>
      <c r="JJ38" s="880">
        <f t="shared" si="470"/>
        <v>29645.71</v>
      </c>
      <c r="JK38" s="881">
        <f t="shared" si="470"/>
        <v>563268.53</v>
      </c>
      <c r="JL38" s="849">
        <f t="shared" si="470"/>
        <v>3362567.57</v>
      </c>
      <c r="JM38" s="880">
        <f t="shared" si="470"/>
        <v>874267.56999999983</v>
      </c>
      <c r="JN38" s="881">
        <f t="shared" si="470"/>
        <v>2488300</v>
      </c>
      <c r="JO38" s="857">
        <f t="shared" si="470"/>
        <v>3362567.5700000003</v>
      </c>
      <c r="JP38" s="880">
        <f t="shared" si="470"/>
        <v>874267.58</v>
      </c>
      <c r="JQ38" s="881">
        <f t="shared" si="470"/>
        <v>2488299.9900000002</v>
      </c>
      <c r="JR38" s="856">
        <f t="shared" si="470"/>
        <v>18358.319999999985</v>
      </c>
      <c r="JS38" s="880">
        <f t="shared" si="470"/>
        <v>0</v>
      </c>
      <c r="JT38" s="881">
        <f t="shared" si="470"/>
        <v>18358.319999999985</v>
      </c>
      <c r="JU38" s="857">
        <f t="shared" si="470"/>
        <v>0</v>
      </c>
      <c r="JV38" s="829">
        <f t="shared" si="470"/>
        <v>0</v>
      </c>
      <c r="JW38" s="881">
        <f t="shared" si="470"/>
        <v>0</v>
      </c>
      <c r="JX38" s="849">
        <f t="shared" si="470"/>
        <v>18358.319999999985</v>
      </c>
      <c r="JY38" s="829">
        <f t="shared" si="470"/>
        <v>0</v>
      </c>
      <c r="JZ38" s="881">
        <f t="shared" si="470"/>
        <v>18358.319999999985</v>
      </c>
      <c r="KA38" s="857">
        <f t="shared" si="470"/>
        <v>0</v>
      </c>
      <c r="KB38" s="829">
        <f t="shared" si="470"/>
        <v>0</v>
      </c>
      <c r="KC38" s="881">
        <f t="shared" si="470"/>
        <v>0</v>
      </c>
      <c r="KD38" s="873">
        <f t="shared" ref="KD38:KP38" si="473">KD31+KD35</f>
        <v>-3237680.18</v>
      </c>
      <c r="KE38" s="829">
        <f t="shared" si="473"/>
        <v>-846570.0199999999</v>
      </c>
      <c r="KF38" s="881">
        <f t="shared" si="473"/>
        <v>-2391110.16</v>
      </c>
      <c r="KG38" s="862">
        <f t="shared" si="473"/>
        <v>0</v>
      </c>
      <c r="KH38" s="829">
        <f t="shared" si="473"/>
        <v>0</v>
      </c>
      <c r="KI38" s="881">
        <f t="shared" si="473"/>
        <v>0</v>
      </c>
      <c r="KJ38" s="862">
        <f t="shared" si="473"/>
        <v>3256038.5</v>
      </c>
      <c r="KK38" s="829">
        <f t="shared" si="473"/>
        <v>846570.0199999999</v>
      </c>
      <c r="KL38" s="881">
        <f t="shared" si="473"/>
        <v>2409468.4800000004</v>
      </c>
      <c r="KM38" s="862">
        <f t="shared" si="473"/>
        <v>0</v>
      </c>
      <c r="KN38" s="829">
        <f t="shared" si="473"/>
        <v>0</v>
      </c>
      <c r="KO38" s="881">
        <f t="shared" si="473"/>
        <v>0</v>
      </c>
      <c r="KP38" s="849">
        <f t="shared" si="473"/>
        <v>44029838.830000006</v>
      </c>
      <c r="KQ38" s="864">
        <f>KQ31+KQ35</f>
        <v>24722751.120000001</v>
      </c>
      <c r="KR38" s="988">
        <f>KR31+KR35</f>
        <v>9055887.7100000009</v>
      </c>
      <c r="KS38" s="864">
        <f>KS31+KS35</f>
        <v>3726800</v>
      </c>
      <c r="KT38" s="988">
        <f>KT31+KT35</f>
        <v>6524400</v>
      </c>
      <c r="KU38" s="857">
        <f t="shared" ref="KU38" si="474">KU31+KU35</f>
        <v>0</v>
      </c>
      <c r="KV38" s="864">
        <f>KV31+KV35</f>
        <v>0</v>
      </c>
      <c r="KW38" s="988">
        <f>KW31+KW35</f>
        <v>0</v>
      </c>
      <c r="KX38" s="864">
        <f>KX31+KX35</f>
        <v>0</v>
      </c>
      <c r="KY38" s="988">
        <f>KY31+KY35</f>
        <v>0</v>
      </c>
      <c r="KZ38" s="848">
        <f t="shared" ref="KZ38:LE38" si="475">KZ31+KZ35</f>
        <v>2533780</v>
      </c>
      <c r="LA38" s="880">
        <f t="shared" si="475"/>
        <v>2533780</v>
      </c>
      <c r="LB38" s="881">
        <f t="shared" si="475"/>
        <v>0</v>
      </c>
      <c r="LC38" s="880">
        <f t="shared" si="475"/>
        <v>0</v>
      </c>
      <c r="LD38" s="881">
        <f t="shared" si="475"/>
        <v>0</v>
      </c>
      <c r="LE38" s="847">
        <f t="shared" si="475"/>
        <v>0</v>
      </c>
      <c r="LF38" s="864">
        <f>LF31+LF35</f>
        <v>0</v>
      </c>
      <c r="LG38" s="988">
        <f>LG31+LG35</f>
        <v>0</v>
      </c>
      <c r="LH38" s="864">
        <f>LH31+LH35</f>
        <v>0</v>
      </c>
      <c r="LI38" s="988">
        <f>LI31+LI35</f>
        <v>0</v>
      </c>
      <c r="LJ38" s="989">
        <f t="shared" ref="LJ38:LV38" si="476">LJ31+LJ35</f>
        <v>-1817570</v>
      </c>
      <c r="LK38" s="880">
        <f t="shared" si="476"/>
        <v>-1817570</v>
      </c>
      <c r="LL38" s="881">
        <f t="shared" si="476"/>
        <v>0</v>
      </c>
      <c r="LM38" s="870">
        <f t="shared" si="476"/>
        <v>0</v>
      </c>
      <c r="LN38" s="858">
        <f t="shared" si="476"/>
        <v>0</v>
      </c>
      <c r="LO38" s="881">
        <f t="shared" si="476"/>
        <v>0</v>
      </c>
      <c r="LP38" s="870">
        <f t="shared" si="476"/>
        <v>4351350</v>
      </c>
      <c r="LQ38" s="829">
        <f t="shared" si="476"/>
        <v>4351350</v>
      </c>
      <c r="LR38" s="987">
        <f t="shared" si="476"/>
        <v>0</v>
      </c>
      <c r="LS38" s="870">
        <f t="shared" si="476"/>
        <v>0</v>
      </c>
      <c r="LT38" s="829">
        <f t="shared" si="476"/>
        <v>0</v>
      </c>
      <c r="LU38" s="881">
        <f t="shared" si="476"/>
        <v>0</v>
      </c>
      <c r="LV38" s="857">
        <f t="shared" si="476"/>
        <v>7973513.5099999998</v>
      </c>
      <c r="LW38" s="864">
        <f>LW31+LW35</f>
        <v>0</v>
      </c>
      <c r="LX38" s="864">
        <f>LX31+LX35</f>
        <v>2073113.5099999998</v>
      </c>
      <c r="LY38" s="988">
        <f>LY31+LY35</f>
        <v>5900400</v>
      </c>
      <c r="LZ38" s="857">
        <f t="shared" ref="LZ38" si="477">LZ31+LZ35</f>
        <v>0</v>
      </c>
      <c r="MA38" s="864">
        <f>MA31+MA35</f>
        <v>0</v>
      </c>
      <c r="MB38" s="864">
        <f>MB31+MB35</f>
        <v>0</v>
      </c>
      <c r="MC38" s="988">
        <f>MC31+MC35</f>
        <v>0</v>
      </c>
      <c r="MD38" s="857">
        <f t="shared" ref="MD38" si="478">MD31+MD35</f>
        <v>32277567.57</v>
      </c>
      <c r="ME38" s="864">
        <f>ME31+ME35</f>
        <v>0</v>
      </c>
      <c r="MF38" s="864">
        <f>MF31+MF35</f>
        <v>8392167.5700000003</v>
      </c>
      <c r="MG38" s="988">
        <f>MG31+MG35</f>
        <v>23885400</v>
      </c>
      <c r="MH38" s="857">
        <f t="shared" ref="MH38" si="479">MH31+MH35</f>
        <v>21110008.829999998</v>
      </c>
      <c r="MI38" s="864">
        <f>MI31+MI35</f>
        <v>0</v>
      </c>
      <c r="MJ38" s="864">
        <f t="shared" ref="MJ38:ML38" si="480">MJ31+MJ35</f>
        <v>5488602.29</v>
      </c>
      <c r="MK38" s="988">
        <f t="shared" si="480"/>
        <v>15621406.539999999</v>
      </c>
      <c r="ML38" s="862">
        <f t="shared" si="480"/>
        <v>32277567.57</v>
      </c>
      <c r="MM38" s="864">
        <f>MM31+MM35</f>
        <v>0</v>
      </c>
      <c r="MN38" s="864">
        <f>MN31+MN35</f>
        <v>8392167.5700000003</v>
      </c>
      <c r="MO38" s="988">
        <f>MO31+MO35</f>
        <v>23885400</v>
      </c>
      <c r="MP38" s="862">
        <f t="shared" ref="MP38" si="481">MP31+MP35</f>
        <v>21110008.829999998</v>
      </c>
      <c r="MQ38" s="864">
        <f>MQ31+MQ35</f>
        <v>0</v>
      </c>
      <c r="MR38" s="864">
        <f>MR31+MR35</f>
        <v>5488602.29</v>
      </c>
      <c r="MS38" s="988">
        <f>MS31+MS35</f>
        <v>15621406.539999999</v>
      </c>
      <c r="MT38" s="862">
        <f t="shared" ref="MT38" si="482">MT31+MT35</f>
        <v>0</v>
      </c>
      <c r="MU38" s="864">
        <f>MU31+MU35</f>
        <v>0</v>
      </c>
      <c r="MV38" s="864">
        <f>MV31+MV35</f>
        <v>0</v>
      </c>
      <c r="MW38" s="988">
        <f>MW31+MW35</f>
        <v>0</v>
      </c>
      <c r="MX38" s="862">
        <f t="shared" ref="MX38" si="483">MX31+MX35</f>
        <v>0</v>
      </c>
      <c r="MY38" s="864">
        <f>MY31+MY35</f>
        <v>0</v>
      </c>
      <c r="MZ38" s="864">
        <f>MZ31+MZ35</f>
        <v>0</v>
      </c>
      <c r="NA38" s="988">
        <f>NA31+NA35</f>
        <v>0</v>
      </c>
      <c r="NB38" s="847">
        <f t="shared" ref="NB38:PM38" si="484">NB31+NB35</f>
        <v>11336012.700000001</v>
      </c>
      <c r="NC38" s="864">
        <f t="shared" si="484"/>
        <v>0</v>
      </c>
      <c r="ND38" s="988">
        <f t="shared" si="484"/>
        <v>0</v>
      </c>
      <c r="NE38" s="880">
        <f t="shared" si="484"/>
        <v>1671589.1900000004</v>
      </c>
      <c r="NF38" s="881">
        <f t="shared" si="484"/>
        <v>4757600</v>
      </c>
      <c r="NG38" s="990">
        <f t="shared" si="484"/>
        <v>0</v>
      </c>
      <c r="NH38" s="829">
        <f t="shared" si="484"/>
        <v>1275774.1099999999</v>
      </c>
      <c r="NI38" s="987">
        <f t="shared" si="484"/>
        <v>3631049.4000000004</v>
      </c>
      <c r="NJ38" s="847">
        <f t="shared" si="484"/>
        <v>4429504.26</v>
      </c>
      <c r="NK38" s="864">
        <f t="shared" si="484"/>
        <v>0</v>
      </c>
      <c r="NL38" s="988">
        <f t="shared" si="484"/>
        <v>0</v>
      </c>
      <c r="NM38" s="880">
        <f t="shared" si="484"/>
        <v>170334.3</v>
      </c>
      <c r="NN38" s="881">
        <f t="shared" si="484"/>
        <v>484797.61</v>
      </c>
      <c r="NO38" s="864">
        <f t="shared" si="484"/>
        <v>0</v>
      </c>
      <c r="NP38" s="864">
        <f t="shared" si="484"/>
        <v>981336.81999999983</v>
      </c>
      <c r="NQ38" s="881">
        <f t="shared" si="484"/>
        <v>2793035.5300000003</v>
      </c>
      <c r="NR38" s="849">
        <f t="shared" si="484"/>
        <v>164579708.91999999</v>
      </c>
      <c r="NS38" s="829">
        <f t="shared" si="484"/>
        <v>18358.319999999985</v>
      </c>
      <c r="NT38" s="891">
        <f t="shared" si="484"/>
        <v>164561350.59999999</v>
      </c>
      <c r="NU38" s="857">
        <f t="shared" si="484"/>
        <v>45274.409999999989</v>
      </c>
      <c r="NV38" s="877">
        <f t="shared" si="484"/>
        <v>11771.349999999991</v>
      </c>
      <c r="NW38" s="881">
        <f t="shared" si="484"/>
        <v>33503.06</v>
      </c>
      <c r="NX38" s="862">
        <f t="shared" si="484"/>
        <v>0</v>
      </c>
      <c r="NY38" s="829">
        <f t="shared" si="484"/>
        <v>0</v>
      </c>
      <c r="NZ38" s="881">
        <f t="shared" si="484"/>
        <v>0</v>
      </c>
      <c r="OA38" s="862">
        <f t="shared" si="484"/>
        <v>0</v>
      </c>
      <c r="OB38" s="829">
        <f t="shared" si="484"/>
        <v>0</v>
      </c>
      <c r="OC38" s="987">
        <f t="shared" si="484"/>
        <v>0</v>
      </c>
      <c r="OD38" s="862">
        <f t="shared" si="484"/>
        <v>164579708.91999999</v>
      </c>
      <c r="OE38" s="829">
        <f t="shared" si="484"/>
        <v>18358.319999999985</v>
      </c>
      <c r="OF38" s="891">
        <f t="shared" si="484"/>
        <v>164561350.59999999</v>
      </c>
      <c r="OG38" s="862">
        <f t="shared" si="484"/>
        <v>45274.409999999989</v>
      </c>
      <c r="OH38" s="829">
        <f t="shared" si="484"/>
        <v>11771.349999999991</v>
      </c>
      <c r="OI38" s="881">
        <f t="shared" si="484"/>
        <v>33503.06</v>
      </c>
      <c r="OJ38" s="872">
        <f t="shared" si="484"/>
        <v>0</v>
      </c>
      <c r="OK38" s="864">
        <f>OK31+OK35</f>
        <v>0</v>
      </c>
      <c r="OL38" s="876">
        <f t="shared" si="484"/>
        <v>0</v>
      </c>
      <c r="OM38" s="883">
        <f>OM31+OM35</f>
        <v>0</v>
      </c>
      <c r="ON38" s="857">
        <f t="shared" ref="ON38" si="485">ON31+ON35</f>
        <v>0</v>
      </c>
      <c r="OO38" s="883">
        <f t="shared" si="484"/>
        <v>0</v>
      </c>
      <c r="OP38" s="876">
        <f t="shared" si="484"/>
        <v>0</v>
      </c>
      <c r="OQ38" s="883">
        <f t="shared" si="484"/>
        <v>0</v>
      </c>
      <c r="OR38" s="857">
        <f t="shared" si="484"/>
        <v>637428335.19000006</v>
      </c>
      <c r="OS38" s="829">
        <f t="shared" si="484"/>
        <v>112862344.38</v>
      </c>
      <c r="OT38" s="881">
        <f t="shared" si="484"/>
        <v>312944914.11000001</v>
      </c>
      <c r="OU38" s="829">
        <f t="shared" si="484"/>
        <v>211621076.69999999</v>
      </c>
      <c r="OV38" s="857">
        <f t="shared" si="484"/>
        <v>101500006.14999999</v>
      </c>
      <c r="OW38" s="829">
        <f t="shared" si="484"/>
        <v>2984586.39</v>
      </c>
      <c r="OX38" s="881">
        <f t="shared" si="484"/>
        <v>56707126.899999999</v>
      </c>
      <c r="OY38" s="829">
        <f t="shared" si="484"/>
        <v>41808292.859999999</v>
      </c>
      <c r="OZ38" s="857">
        <f t="shared" si="484"/>
        <v>281107380.46999997</v>
      </c>
      <c r="PA38" s="829">
        <f t="shared" si="484"/>
        <v>5473685.5999999978</v>
      </c>
      <c r="PB38" s="881">
        <f t="shared" si="484"/>
        <v>104000000</v>
      </c>
      <c r="PC38" s="829">
        <f t="shared" si="484"/>
        <v>171633694.87</v>
      </c>
      <c r="PD38" s="872">
        <f t="shared" si="484"/>
        <v>107788573.53999999</v>
      </c>
      <c r="PE38" s="829">
        <f t="shared" si="484"/>
        <v>3667099.2399999998</v>
      </c>
      <c r="PF38" s="881">
        <f t="shared" si="484"/>
        <v>69674867.719999999</v>
      </c>
      <c r="PG38" s="829">
        <f t="shared" si="484"/>
        <v>34446606.579999998</v>
      </c>
      <c r="PH38" s="989">
        <f t="shared" si="484"/>
        <v>139560414.10999998</v>
      </c>
      <c r="PI38" s="880">
        <f t="shared" si="484"/>
        <v>-5000000</v>
      </c>
      <c r="PJ38" s="881">
        <f t="shared" si="484"/>
        <v>0</v>
      </c>
      <c r="PK38" s="829">
        <f t="shared" si="484"/>
        <v>144560414.10999998</v>
      </c>
      <c r="PL38" s="870">
        <f t="shared" si="484"/>
        <v>34446606.579999998</v>
      </c>
      <c r="PM38" s="858">
        <f t="shared" si="484"/>
        <v>0</v>
      </c>
      <c r="PN38" s="881">
        <f t="shared" ref="PN38:SC38" si="486">PN31+PN35</f>
        <v>0</v>
      </c>
      <c r="PO38" s="829">
        <f t="shared" si="486"/>
        <v>34446606.579999998</v>
      </c>
      <c r="PP38" s="870">
        <f t="shared" si="486"/>
        <v>141546966.35999998</v>
      </c>
      <c r="PQ38" s="829">
        <f t="shared" si="486"/>
        <v>10473685.599999998</v>
      </c>
      <c r="PR38" s="987">
        <f t="shared" si="486"/>
        <v>104000000</v>
      </c>
      <c r="PS38" s="829">
        <f t="shared" si="486"/>
        <v>27073280.759999998</v>
      </c>
      <c r="PT38" s="870">
        <f t="shared" si="486"/>
        <v>73341966.959999993</v>
      </c>
      <c r="PU38" s="829">
        <f t="shared" si="486"/>
        <v>3667099.2399999998</v>
      </c>
      <c r="PV38" s="881">
        <f t="shared" si="486"/>
        <v>69674867.719999999</v>
      </c>
      <c r="PW38" s="829">
        <f t="shared" si="486"/>
        <v>0</v>
      </c>
      <c r="PX38" s="857">
        <f t="shared" si="486"/>
        <v>171852053.88</v>
      </c>
      <c r="PY38" s="864">
        <f t="shared" si="486"/>
        <v>152102.69</v>
      </c>
      <c r="PZ38" s="879">
        <f t="shared" si="486"/>
        <v>2889951.19</v>
      </c>
      <c r="QA38" s="864">
        <f t="shared" ref="QA38:QB38" si="487">QA31+QA35</f>
        <v>8440500</v>
      </c>
      <c r="QB38" s="879">
        <f t="shared" si="487"/>
        <v>160369500</v>
      </c>
      <c r="QC38" s="857">
        <f t="shared" si="486"/>
        <v>39922412.100000001</v>
      </c>
      <c r="QD38" s="864">
        <f t="shared" si="486"/>
        <v>0</v>
      </c>
      <c r="QE38" s="879">
        <f t="shared" si="486"/>
        <v>0</v>
      </c>
      <c r="QF38" s="864">
        <f t="shared" ref="QF38:QG38" si="488">QF31+QF35</f>
        <v>1996120.61</v>
      </c>
      <c r="QG38" s="879">
        <f t="shared" si="488"/>
        <v>37926291.490000002</v>
      </c>
      <c r="QH38" s="857">
        <f t="shared" si="486"/>
        <v>6360592.71</v>
      </c>
      <c r="QI38" s="864">
        <f t="shared" si="486"/>
        <v>318029.62999999989</v>
      </c>
      <c r="QJ38" s="879">
        <f t="shared" si="486"/>
        <v>6042563.0800000001</v>
      </c>
      <c r="QK38" s="857">
        <f t="shared" si="486"/>
        <v>1248022.27</v>
      </c>
      <c r="QL38" s="864">
        <f t="shared" si="486"/>
        <v>62401.11</v>
      </c>
      <c r="QM38" s="879">
        <f t="shared" si="486"/>
        <v>1185621.1599999999</v>
      </c>
      <c r="QN38" s="862">
        <f t="shared" si="486"/>
        <v>6360592.71</v>
      </c>
      <c r="QO38" s="864">
        <f t="shared" si="486"/>
        <v>318029.62999999989</v>
      </c>
      <c r="QP38" s="879">
        <f t="shared" si="486"/>
        <v>6042563.0800000001</v>
      </c>
      <c r="QQ38" s="862">
        <f t="shared" si="486"/>
        <v>1248022.27</v>
      </c>
      <c r="QR38" s="864">
        <f t="shared" si="486"/>
        <v>62401.11</v>
      </c>
      <c r="QS38" s="879">
        <f t="shared" si="486"/>
        <v>1185621.1599999999</v>
      </c>
      <c r="QT38" s="862">
        <f t="shared" si="486"/>
        <v>0</v>
      </c>
      <c r="QU38" s="864">
        <f t="shared" si="486"/>
        <v>0</v>
      </c>
      <c r="QV38" s="879">
        <f t="shared" si="486"/>
        <v>0</v>
      </c>
      <c r="QW38" s="862">
        <f t="shared" si="486"/>
        <v>0</v>
      </c>
      <c r="QX38" s="864">
        <f t="shared" si="486"/>
        <v>0</v>
      </c>
      <c r="QY38" s="879">
        <f t="shared" si="486"/>
        <v>0</v>
      </c>
      <c r="QZ38" s="849">
        <f t="shared" si="486"/>
        <v>6974526.3200000003</v>
      </c>
      <c r="RA38" s="880">
        <f t="shared" si="486"/>
        <v>348726.3200000003</v>
      </c>
      <c r="RB38" s="881">
        <f t="shared" si="486"/>
        <v>6625800</v>
      </c>
      <c r="RC38" s="857">
        <f t="shared" si="486"/>
        <v>1639838.96</v>
      </c>
      <c r="RD38" s="880">
        <f t="shared" si="486"/>
        <v>81991.95</v>
      </c>
      <c r="RE38" s="881">
        <f t="shared" si="486"/>
        <v>1557847.01</v>
      </c>
      <c r="RF38" s="849">
        <f t="shared" si="486"/>
        <v>0</v>
      </c>
      <c r="RG38" s="880">
        <f t="shared" si="486"/>
        <v>0</v>
      </c>
      <c r="RH38" s="881">
        <f t="shared" si="486"/>
        <v>0</v>
      </c>
      <c r="RI38" s="857">
        <f t="shared" si="486"/>
        <v>0</v>
      </c>
      <c r="RJ38" s="880">
        <f t="shared" si="486"/>
        <v>0</v>
      </c>
      <c r="RK38" s="881">
        <f t="shared" si="486"/>
        <v>0</v>
      </c>
      <c r="RL38" s="849">
        <f t="shared" si="486"/>
        <v>0</v>
      </c>
      <c r="RM38" s="880">
        <f t="shared" si="486"/>
        <v>0</v>
      </c>
      <c r="RN38" s="881">
        <f t="shared" si="486"/>
        <v>0</v>
      </c>
      <c r="RO38" s="857">
        <f t="shared" si="486"/>
        <v>0</v>
      </c>
      <c r="RP38" s="880">
        <f t="shared" si="486"/>
        <v>0</v>
      </c>
      <c r="RQ38" s="881">
        <f t="shared" si="486"/>
        <v>0</v>
      </c>
      <c r="RR38" s="873">
        <f t="shared" si="486"/>
        <v>0</v>
      </c>
      <c r="RS38" s="880">
        <f t="shared" si="486"/>
        <v>0</v>
      </c>
      <c r="RT38" s="881">
        <f t="shared" si="486"/>
        <v>0</v>
      </c>
      <c r="RU38" s="862">
        <f t="shared" si="486"/>
        <v>0</v>
      </c>
      <c r="RV38" s="880">
        <f t="shared" si="486"/>
        <v>0</v>
      </c>
      <c r="RW38" s="881">
        <f t="shared" si="486"/>
        <v>0</v>
      </c>
      <c r="RX38" s="873">
        <f t="shared" si="486"/>
        <v>0</v>
      </c>
      <c r="RY38" s="880">
        <f t="shared" si="486"/>
        <v>0</v>
      </c>
      <c r="RZ38" s="881">
        <f t="shared" si="486"/>
        <v>0</v>
      </c>
      <c r="SA38" s="862">
        <f t="shared" si="486"/>
        <v>0</v>
      </c>
      <c r="SB38" s="880">
        <f t="shared" si="486"/>
        <v>0</v>
      </c>
      <c r="SC38" s="881">
        <f t="shared" si="486"/>
        <v>0</v>
      </c>
      <c r="SD38" s="849">
        <f t="shared" ref="SD38:SX38" si="489">SD31+SD35</f>
        <v>0</v>
      </c>
      <c r="SE38" s="859">
        <f t="shared" si="489"/>
        <v>0</v>
      </c>
      <c r="SF38" s="881">
        <f t="shared" si="489"/>
        <v>0</v>
      </c>
      <c r="SG38" s="857">
        <f t="shared" si="489"/>
        <v>0</v>
      </c>
      <c r="SH38" s="877">
        <f t="shared" si="489"/>
        <v>0</v>
      </c>
      <c r="SI38" s="881">
        <f t="shared" si="489"/>
        <v>0</v>
      </c>
      <c r="SJ38" s="857">
        <f t="shared" si="489"/>
        <v>857972286.9000001</v>
      </c>
      <c r="SK38" s="859">
        <f t="shared" si="489"/>
        <v>211846070.68000001</v>
      </c>
      <c r="SL38" s="859">
        <f t="shared" si="489"/>
        <v>167992816.22000003</v>
      </c>
      <c r="SM38" s="881">
        <f t="shared" si="489"/>
        <v>478133400</v>
      </c>
      <c r="SN38" s="857">
        <f t="shared" si="489"/>
        <v>360631152.23999995</v>
      </c>
      <c r="SO38" s="864">
        <f t="shared" si="489"/>
        <v>33305116.539999999</v>
      </c>
      <c r="SP38" s="877">
        <f t="shared" si="489"/>
        <v>85104769.290000007</v>
      </c>
      <c r="SQ38" s="881">
        <f t="shared" si="489"/>
        <v>242221266.41</v>
      </c>
      <c r="SR38" s="849">
        <f t="shared" si="489"/>
        <v>0</v>
      </c>
      <c r="SS38" s="859">
        <f t="shared" si="489"/>
        <v>0</v>
      </c>
      <c r="ST38" s="891">
        <f t="shared" si="489"/>
        <v>0</v>
      </c>
      <c r="SU38" s="857">
        <f t="shared" si="489"/>
        <v>0</v>
      </c>
      <c r="SV38" s="877">
        <f t="shared" si="489"/>
        <v>0</v>
      </c>
      <c r="SW38" s="881">
        <f t="shared" si="489"/>
        <v>0</v>
      </c>
      <c r="SX38" s="857">
        <f t="shared" si="489"/>
        <v>1435950641.7400002</v>
      </c>
      <c r="SY38" s="864">
        <f>SY31+SY35</f>
        <v>6193124.0799999936</v>
      </c>
      <c r="SZ38" s="879">
        <f>SZ31+SZ35</f>
        <v>117669358.27000001</v>
      </c>
      <c r="TA38" s="864">
        <f t="shared" ref="TA38:TB38" si="490">TA31+TA35</f>
        <v>0</v>
      </c>
      <c r="TB38" s="879">
        <f t="shared" si="490"/>
        <v>0</v>
      </c>
      <c r="TC38" s="864">
        <f>TC31+TC35</f>
        <v>72441659.389999986</v>
      </c>
      <c r="TD38" s="879">
        <f>TD31+TD35</f>
        <v>1239646500</v>
      </c>
      <c r="TE38" s="857">
        <f t="shared" ref="TE38:TL38" si="491">TE31+TE35</f>
        <v>604661559.94999993</v>
      </c>
      <c r="TF38" s="864">
        <f t="shared" si="491"/>
        <v>452036.02</v>
      </c>
      <c r="TG38" s="879">
        <f t="shared" si="491"/>
        <v>8588685.3199999966</v>
      </c>
      <c r="TH38" s="864">
        <f t="shared" si="491"/>
        <v>0</v>
      </c>
      <c r="TI38" s="879">
        <f t="shared" si="491"/>
        <v>0</v>
      </c>
      <c r="TJ38" s="864">
        <f t="shared" si="491"/>
        <v>29781041.920000002</v>
      </c>
      <c r="TK38" s="876">
        <f t="shared" si="491"/>
        <v>565839796.69000006</v>
      </c>
      <c r="TL38" s="857">
        <f t="shared" si="491"/>
        <v>110602710.74000001</v>
      </c>
      <c r="TM38" s="864">
        <f>TM31+TM35</f>
        <v>5359433.810000008</v>
      </c>
      <c r="TN38" s="879">
        <f>TN31+TN35</f>
        <v>101829241.72999999</v>
      </c>
      <c r="TO38" s="864">
        <f t="shared" ref="TO38:TP38" si="492">TO31+TO35</f>
        <v>170701.76000000024</v>
      </c>
      <c r="TP38" s="879">
        <f t="shared" si="492"/>
        <v>3243333.44</v>
      </c>
      <c r="TQ38" s="864">
        <f>TQ31+TQ35</f>
        <v>0</v>
      </c>
      <c r="TR38" s="879">
        <f>TR31+TR35</f>
        <v>0</v>
      </c>
      <c r="TS38" s="857">
        <f t="shared" ref="TS38:TZ38" si="493">TS31+TS35</f>
        <v>21380391.789999999</v>
      </c>
      <c r="TT38" s="864">
        <f>TT31+TT35</f>
        <v>1069019.56</v>
      </c>
      <c r="TU38" s="879">
        <f>TU31+TU35</f>
        <v>20311372.23</v>
      </c>
      <c r="TV38" s="864">
        <f t="shared" ref="TV38:TW38" si="494">TV31+TV35</f>
        <v>0</v>
      </c>
      <c r="TW38" s="879">
        <f t="shared" si="494"/>
        <v>0</v>
      </c>
      <c r="TX38" s="864">
        <f>TX31+TX35</f>
        <v>0</v>
      </c>
      <c r="TY38" s="879">
        <f>TY31+TY35</f>
        <v>0</v>
      </c>
      <c r="TZ38" s="862">
        <f t="shared" si="493"/>
        <v>82918204.510000005</v>
      </c>
      <c r="UA38" s="864">
        <f>UA31+UA35</f>
        <v>4347096.1900000069</v>
      </c>
      <c r="UB38" s="879">
        <f>UB31+UB35</f>
        <v>82594827.389999986</v>
      </c>
      <c r="UC38" s="864">
        <f t="shared" ref="UC38:UD38" si="495">UC31+UC35</f>
        <v>-201185.94999999949</v>
      </c>
      <c r="UD38" s="879">
        <f t="shared" si="495"/>
        <v>-3822533.12</v>
      </c>
      <c r="UE38" s="864">
        <f>UE31+UE35</f>
        <v>0</v>
      </c>
      <c r="UF38" s="879">
        <f>UF31+UF35</f>
        <v>0</v>
      </c>
      <c r="UG38" s="862">
        <f t="shared" ref="UG38" si="496">UG31+UG35</f>
        <v>20394882.899999999</v>
      </c>
      <c r="UH38" s="864">
        <f>UH31+UH35</f>
        <v>1019744.1199999999</v>
      </c>
      <c r="UI38" s="879">
        <f>UI31+UI35</f>
        <v>19375138.780000001</v>
      </c>
      <c r="UJ38" s="864">
        <f t="shared" ref="UJ38:UK38" si="497">UJ31+UJ35</f>
        <v>0</v>
      </c>
      <c r="UK38" s="879">
        <f t="shared" si="497"/>
        <v>0</v>
      </c>
      <c r="UL38" s="864">
        <f>UL31+UL35</f>
        <v>0</v>
      </c>
      <c r="UM38" s="879">
        <f>UM31+UM35</f>
        <v>0</v>
      </c>
      <c r="UN38" s="862">
        <f t="shared" ref="UN38:WY38" si="498">UN31+UN35</f>
        <v>27684506.23</v>
      </c>
      <c r="UO38" s="864">
        <f t="shared" si="498"/>
        <v>1012337.620000001</v>
      </c>
      <c r="UP38" s="879">
        <f t="shared" si="498"/>
        <v>19234414.34</v>
      </c>
      <c r="UQ38" s="864">
        <f t="shared" si="498"/>
        <v>371887.70999999973</v>
      </c>
      <c r="UR38" s="879">
        <f t="shared" si="498"/>
        <v>7065866.5600000005</v>
      </c>
      <c r="US38" s="864">
        <f t="shared" si="498"/>
        <v>0</v>
      </c>
      <c r="UT38" s="879">
        <f t="shared" si="498"/>
        <v>0</v>
      </c>
      <c r="UU38" s="862">
        <f t="shared" si="498"/>
        <v>985508.8899999999</v>
      </c>
      <c r="UV38" s="864">
        <f t="shared" si="498"/>
        <v>49275.439999999995</v>
      </c>
      <c r="UW38" s="879">
        <f t="shared" si="498"/>
        <v>936233.45</v>
      </c>
      <c r="UX38" s="864">
        <f t="shared" si="498"/>
        <v>0</v>
      </c>
      <c r="UY38" s="879">
        <f t="shared" si="498"/>
        <v>0</v>
      </c>
      <c r="UZ38" s="864">
        <f t="shared" si="498"/>
        <v>0</v>
      </c>
      <c r="VA38" s="879">
        <f t="shared" si="498"/>
        <v>0</v>
      </c>
      <c r="VB38" s="857">
        <f t="shared" si="498"/>
        <v>3956663353.0900006</v>
      </c>
      <c r="VC38" s="857">
        <f t="shared" si="498"/>
        <v>961847356.01000011</v>
      </c>
      <c r="VD38" s="857">
        <f t="shared" si="498"/>
        <v>187305903.59000003</v>
      </c>
      <c r="VE38" s="857">
        <f t="shared" si="498"/>
        <v>33714991.949999996</v>
      </c>
      <c r="VF38" s="869">
        <f t="shared" si="498"/>
        <v>25682372.670000002</v>
      </c>
      <c r="VG38" s="870">
        <f t="shared" si="498"/>
        <v>6937380.6699999999</v>
      </c>
      <c r="VH38" s="869">
        <f t="shared" si="498"/>
        <v>161623530.92000002</v>
      </c>
      <c r="VI38" s="870">
        <f t="shared" si="498"/>
        <v>26777611.279999997</v>
      </c>
      <c r="VJ38" s="847">
        <f t="shared" si="498"/>
        <v>16481127177.010002</v>
      </c>
      <c r="VK38" s="860">
        <f t="shared" si="498"/>
        <v>15985863777.01</v>
      </c>
      <c r="VL38" s="859">
        <f t="shared" si="498"/>
        <v>495263400</v>
      </c>
      <c r="VM38" s="847">
        <f t="shared" si="498"/>
        <v>9430506913.5100002</v>
      </c>
      <c r="VN38" s="860">
        <f t="shared" si="498"/>
        <v>9162558396.5499992</v>
      </c>
      <c r="VO38" s="882">
        <f t="shared" si="498"/>
        <v>267948516.96000001</v>
      </c>
      <c r="VP38" s="857">
        <f t="shared" si="498"/>
        <v>15389819869.560001</v>
      </c>
      <c r="VQ38" s="856">
        <f t="shared" si="498"/>
        <v>8851938095.6000004</v>
      </c>
      <c r="VR38" s="847">
        <f t="shared" si="498"/>
        <v>411185372</v>
      </c>
      <c r="VS38" s="872">
        <f t="shared" si="498"/>
        <v>208200996.43000001</v>
      </c>
      <c r="VT38" s="856">
        <f t="shared" si="498"/>
        <v>9483500</v>
      </c>
      <c r="VU38" s="857">
        <f t="shared" si="498"/>
        <v>969502.7</v>
      </c>
      <c r="VV38" s="856">
        <f t="shared" si="498"/>
        <v>36969300</v>
      </c>
      <c r="VW38" s="857">
        <f t="shared" si="498"/>
        <v>14961629.73</v>
      </c>
      <c r="VX38" s="856">
        <f t="shared" si="498"/>
        <v>63100</v>
      </c>
      <c r="VY38" s="857">
        <f t="shared" si="498"/>
        <v>0</v>
      </c>
      <c r="VZ38" s="856">
        <f t="shared" si="498"/>
        <v>0</v>
      </c>
      <c r="WA38" s="857">
        <f t="shared" si="498"/>
        <v>0</v>
      </c>
      <c r="WB38" s="890">
        <f t="shared" si="498"/>
        <v>1553000</v>
      </c>
      <c r="WC38" s="856">
        <f t="shared" si="498"/>
        <v>0</v>
      </c>
      <c r="WD38" s="847">
        <f t="shared" si="498"/>
        <v>7674600</v>
      </c>
      <c r="WE38" s="872">
        <f t="shared" si="498"/>
        <v>3105098</v>
      </c>
      <c r="WF38" s="857">
        <f t="shared" si="498"/>
        <v>571370135.13999999</v>
      </c>
      <c r="WG38" s="861">
        <f>WG31+WG35</f>
        <v>148556235.13999999</v>
      </c>
      <c r="WH38" s="878">
        <f>WH31+WH35</f>
        <v>422813900</v>
      </c>
      <c r="WI38" s="857">
        <f t="shared" ref="WI38" si="499">WI31+WI35</f>
        <v>324670401.96000004</v>
      </c>
      <c r="WJ38" s="861">
        <f>WJ31+WJ35</f>
        <v>84414304.520000011</v>
      </c>
      <c r="WK38" s="878">
        <f>WK31+WK35</f>
        <v>240256097.44</v>
      </c>
      <c r="WL38" s="847">
        <f t="shared" ref="WL38" si="500">WL31+WL35</f>
        <v>53008300.310000002</v>
      </c>
      <c r="WM38" s="860">
        <f t="shared" si="498"/>
        <v>36302300.310000002</v>
      </c>
      <c r="WN38" s="881">
        <f t="shared" si="498"/>
        <v>16706000</v>
      </c>
      <c r="WO38" s="847">
        <f t="shared" si="498"/>
        <v>26661189.090000004</v>
      </c>
      <c r="WP38" s="861">
        <f>WP31+WP35</f>
        <v>5276000</v>
      </c>
      <c r="WQ38" s="878">
        <f>WQ31+WQ35</f>
        <v>8656189.0899999999</v>
      </c>
      <c r="WR38" s="847">
        <f t="shared" ref="WR38:WS38" si="501">WR31+WR35</f>
        <v>3058557091.52</v>
      </c>
      <c r="WS38" s="847">
        <f t="shared" si="501"/>
        <v>1007665456.8000001</v>
      </c>
      <c r="WT38" s="847">
        <f t="shared" si="498"/>
        <v>96014740</v>
      </c>
      <c r="WU38" s="860">
        <f t="shared" si="498"/>
        <v>4800739.34</v>
      </c>
      <c r="WV38" s="881">
        <f t="shared" si="498"/>
        <v>91214000.659999996</v>
      </c>
      <c r="WW38" s="847">
        <f t="shared" si="498"/>
        <v>877099.58</v>
      </c>
      <c r="WX38" s="860">
        <f t="shared" si="498"/>
        <v>43855.01</v>
      </c>
      <c r="WY38" s="881">
        <f t="shared" si="498"/>
        <v>833244.57</v>
      </c>
      <c r="WZ38" s="847">
        <f t="shared" ref="WZ38:ZF38" si="502">WZ31+WZ35</f>
        <v>59326947.369999997</v>
      </c>
      <c r="XA38" s="860">
        <f t="shared" si="502"/>
        <v>2966347.37</v>
      </c>
      <c r="XB38" s="881">
        <f t="shared" si="502"/>
        <v>56360600</v>
      </c>
      <c r="XC38" s="847">
        <f t="shared" si="502"/>
        <v>36502634.390000001</v>
      </c>
      <c r="XD38" s="860">
        <f t="shared" si="502"/>
        <v>1825131.81</v>
      </c>
      <c r="XE38" s="881">
        <f t="shared" si="502"/>
        <v>34677502.580000006</v>
      </c>
      <c r="XF38" s="847">
        <f t="shared" si="502"/>
        <v>483719000</v>
      </c>
      <c r="XG38" s="860">
        <f t="shared" si="502"/>
        <v>0</v>
      </c>
      <c r="XH38" s="881">
        <f t="shared" si="502"/>
        <v>483719000</v>
      </c>
      <c r="XI38" s="847">
        <f t="shared" si="502"/>
        <v>407056689.56999993</v>
      </c>
      <c r="XJ38" s="860">
        <f t="shared" si="502"/>
        <v>0</v>
      </c>
      <c r="XK38" s="881">
        <f t="shared" si="502"/>
        <v>407056689.56999993</v>
      </c>
      <c r="XL38" s="847">
        <f t="shared" si="502"/>
        <v>0</v>
      </c>
      <c r="XM38" s="880">
        <f t="shared" si="502"/>
        <v>0</v>
      </c>
      <c r="XN38" s="847">
        <f t="shared" si="502"/>
        <v>0</v>
      </c>
      <c r="XO38" s="829">
        <f t="shared" si="502"/>
        <v>0</v>
      </c>
      <c r="XP38" s="847">
        <f t="shared" si="502"/>
        <v>240950249.07999998</v>
      </c>
      <c r="XQ38" s="829">
        <f t="shared" si="502"/>
        <v>240950249.07999998</v>
      </c>
      <c r="XR38" s="847">
        <f t="shared" si="502"/>
        <v>7504113.5299999993</v>
      </c>
      <c r="XS38" s="829">
        <f t="shared" si="502"/>
        <v>7504113.5299999993</v>
      </c>
      <c r="XT38" s="863">
        <f t="shared" si="502"/>
        <v>0</v>
      </c>
      <c r="XU38" s="863">
        <f t="shared" si="502"/>
        <v>0</v>
      </c>
      <c r="XV38" s="863">
        <f t="shared" si="502"/>
        <v>240950249.07999998</v>
      </c>
      <c r="XW38" s="863">
        <f t="shared" si="502"/>
        <v>7504113.5299999993</v>
      </c>
      <c r="XX38" s="847">
        <f t="shared" si="502"/>
        <v>1780935256.72</v>
      </c>
      <c r="XY38" s="829">
        <f t="shared" si="502"/>
        <v>335640263.04000002</v>
      </c>
      <c r="XZ38" s="829">
        <f t="shared" si="502"/>
        <v>436394327.78999996</v>
      </c>
      <c r="YA38" s="829">
        <f>YA31+YA35</f>
        <v>8379862.2999999998</v>
      </c>
      <c r="YB38" s="880">
        <f t="shared" ref="YB38:YD38" si="503">YB31+YB35</f>
        <v>355374797.69</v>
      </c>
      <c r="YC38" s="880">
        <f t="shared" si="503"/>
        <v>115383660</v>
      </c>
      <c r="YD38" s="829">
        <f t="shared" si="503"/>
        <v>453913705.51999998</v>
      </c>
      <c r="YE38" s="829">
        <f>YE31+YE35</f>
        <v>8058869.6000000006</v>
      </c>
      <c r="YF38" s="880">
        <f>YF31+YF35</f>
        <v>0</v>
      </c>
      <c r="YG38" s="829">
        <f t="shared" ref="YG38:YK38" si="504">YG31+YG35</f>
        <v>0</v>
      </c>
      <c r="YH38" s="829">
        <f t="shared" si="504"/>
        <v>67789770.780000001</v>
      </c>
      <c r="YI38" s="847">
        <f t="shared" si="504"/>
        <v>464235770.60000002</v>
      </c>
      <c r="YJ38" s="829">
        <f t="shared" si="504"/>
        <v>132231129.48</v>
      </c>
      <c r="YK38" s="829">
        <f t="shared" si="504"/>
        <v>16188782.789999999</v>
      </c>
      <c r="YL38" s="880">
        <f>YL31+YL35</f>
        <v>375000</v>
      </c>
      <c r="YM38" s="829">
        <f t="shared" ref="YM38:YT38" si="505">YM31+YM35</f>
        <v>151401068.86000001</v>
      </c>
      <c r="YN38" s="829">
        <f t="shared" si="505"/>
        <v>115383660</v>
      </c>
      <c r="YO38" s="829">
        <f t="shared" si="505"/>
        <v>17249909.460000001</v>
      </c>
      <c r="YP38" s="829">
        <f>YP31+YP35</f>
        <v>0</v>
      </c>
      <c r="YQ38" s="880">
        <f>YQ31+YQ35</f>
        <v>0</v>
      </c>
      <c r="YR38" s="829">
        <f t="shared" ref="YR38:YS38" si="506">YR31+YR35</f>
        <v>0</v>
      </c>
      <c r="YS38" s="829">
        <f t="shared" si="506"/>
        <v>31406220.010000005</v>
      </c>
      <c r="YT38" s="847">
        <f t="shared" si="505"/>
        <v>397610898.35000002</v>
      </c>
      <c r="YU38" s="829">
        <f>YU31+YU35</f>
        <v>51888578.649999999</v>
      </c>
      <c r="YV38" s="829">
        <f>YV31+YV35</f>
        <v>51225900</v>
      </c>
      <c r="YW38" s="829">
        <f>YW31+YW35</f>
        <v>186086294.48000002</v>
      </c>
      <c r="YX38" s="829">
        <f>YX31+YX35</f>
        <v>44791312.649999999</v>
      </c>
      <c r="YY38" s="858">
        <f t="shared" ref="YY38" si="507">YY31+YY35</f>
        <v>63618812.569999985</v>
      </c>
      <c r="YZ38" s="847">
        <f t="shared" si="502"/>
        <v>91489149.129999995</v>
      </c>
      <c r="ZA38" s="829">
        <f>ZA31+ZA35</f>
        <v>29774642.579999998</v>
      </c>
      <c r="ZB38" s="829">
        <f>ZB31+ZB35</f>
        <v>51225900</v>
      </c>
      <c r="ZC38" s="829">
        <f>ZC31+ZC35</f>
        <v>0</v>
      </c>
      <c r="ZD38" s="829">
        <f>ZD31+ZD35</f>
        <v>10488606.550000001</v>
      </c>
      <c r="ZE38" s="858">
        <f t="shared" ref="ZE38" si="508">ZE31+ZE35</f>
        <v>0</v>
      </c>
      <c r="ZF38" s="863">
        <f t="shared" si="502"/>
        <v>332468747.05000001</v>
      </c>
      <c r="ZG38" s="829">
        <f>ZG31+ZG35</f>
        <v>39589674.650000006</v>
      </c>
      <c r="ZH38" s="829">
        <f>ZH31+ZH35</f>
        <v>0</v>
      </c>
      <c r="ZI38" s="829">
        <f>ZI31+ZI35</f>
        <v>186086294.48000002</v>
      </c>
      <c r="ZJ38" s="829">
        <f>ZJ31+ZJ35</f>
        <v>44791312.649999999</v>
      </c>
      <c r="ZK38" s="829">
        <f>ZK31+ZK35</f>
        <v>62001465.269999988</v>
      </c>
      <c r="ZL38" s="863">
        <f t="shared" ref="ZL38" si="509">ZL31+ZL35</f>
        <v>31098791.760000002</v>
      </c>
      <c r="ZM38" s="829">
        <f>ZM31+ZM35</f>
        <v>20610185.210000001</v>
      </c>
      <c r="ZN38" s="829">
        <f>ZN31+ZN35</f>
        <v>0</v>
      </c>
      <c r="ZO38" s="829">
        <f>ZO31+ZO35</f>
        <v>0</v>
      </c>
      <c r="ZP38" s="829">
        <f>ZP31+ZP35</f>
        <v>10488606.550000001</v>
      </c>
      <c r="ZQ38" s="829">
        <f>ZQ31+ZQ35</f>
        <v>0</v>
      </c>
      <c r="ZR38" s="863">
        <f t="shared" ref="ZR38" si="510">ZR31+ZR35</f>
        <v>65142151.299999997</v>
      </c>
      <c r="ZS38" s="829">
        <f>ZS31+ZS35</f>
        <v>12298904</v>
      </c>
      <c r="ZT38" s="829">
        <f>ZT31+ZT35</f>
        <v>51225900</v>
      </c>
      <c r="ZU38" s="829"/>
      <c r="ZV38" s="829">
        <f>ZV31+ZV35</f>
        <v>0</v>
      </c>
      <c r="ZW38" s="858">
        <f t="shared" ref="ZW38:AAU38" si="511">ZW31+ZW35</f>
        <v>1617347.3000000003</v>
      </c>
      <c r="ZX38" s="863">
        <f t="shared" si="511"/>
        <v>60390357.369999997</v>
      </c>
      <c r="ZY38" s="829">
        <f>ZY31+ZY35</f>
        <v>9164457.3699999992</v>
      </c>
      <c r="ZZ38" s="829">
        <f>ZZ31+ZZ35</f>
        <v>51225900</v>
      </c>
      <c r="AAA38" s="829"/>
      <c r="AAB38" s="829">
        <f>AAB31+AAB35</f>
        <v>0</v>
      </c>
      <c r="AAC38" s="858">
        <f t="shared" ref="AAC38" si="512">AAC31+AAC35</f>
        <v>0</v>
      </c>
      <c r="AAD38" s="848">
        <f t="shared" si="511"/>
        <v>-1638800000.1600001</v>
      </c>
      <c r="AAE38" s="847">
        <f t="shared" si="511"/>
        <v>-30000000</v>
      </c>
      <c r="AAF38" s="847">
        <f t="shared" si="511"/>
        <v>0</v>
      </c>
      <c r="AAG38" s="847">
        <f t="shared" si="511"/>
        <v>0</v>
      </c>
      <c r="AAH38" s="847">
        <f t="shared" si="511"/>
        <v>0</v>
      </c>
      <c r="AAI38" s="847">
        <f t="shared" si="511"/>
        <v>0</v>
      </c>
      <c r="AAJ38" s="870">
        <f t="shared" si="511"/>
        <v>0</v>
      </c>
      <c r="AAK38" s="870">
        <f t="shared" si="511"/>
        <v>0</v>
      </c>
      <c r="AAL38" s="870">
        <f t="shared" si="511"/>
        <v>0</v>
      </c>
      <c r="AAM38" s="870">
        <f t="shared" si="511"/>
        <v>0</v>
      </c>
      <c r="AAN38" s="847">
        <f t="shared" si="511"/>
        <v>-1637600000.1600001</v>
      </c>
      <c r="AAO38" s="847">
        <f t="shared" si="511"/>
        <v>-30000000</v>
      </c>
      <c r="AAP38" s="847">
        <f t="shared" si="511"/>
        <v>-1200000</v>
      </c>
      <c r="AAQ38" s="847">
        <f t="shared" si="511"/>
        <v>0</v>
      </c>
      <c r="AAR38" s="870">
        <f t="shared" si="511"/>
        <v>-550000</v>
      </c>
      <c r="AAS38" s="870">
        <f t="shared" si="511"/>
        <v>0</v>
      </c>
      <c r="AAT38" s="870">
        <f t="shared" si="511"/>
        <v>-650000</v>
      </c>
      <c r="AAU38" s="870">
        <f t="shared" si="511"/>
        <v>0</v>
      </c>
      <c r="AAV38" s="1246">
        <f>'Проверочная  таблица'!AAN38+'Проверочная  таблица'!AAP38</f>
        <v>-1638800000.1600001</v>
      </c>
      <c r="AAW38" s="1246">
        <f>'Проверочная  таблица'!AAO38+'Проверочная  таблица'!AAQ38</f>
        <v>-30000000</v>
      </c>
    </row>
    <row r="39" spans="1:725" ht="24" customHeight="1" x14ac:dyDescent="0.25">
      <c r="A39" s="694"/>
      <c r="B39" s="993">
        <f>D39+AN39+'Проверочная  таблица'!VJ39</f>
        <v>2843391471.9999962</v>
      </c>
      <c r="C39" s="993">
        <f>E39+AO39+'Проверочная  таблица'!VM39</f>
        <v>0</v>
      </c>
      <c r="D39" s="993">
        <f>D38-'[1]Дотация  из  ОБ_факт'!$F$43</f>
        <v>0</v>
      </c>
      <c r="E39" s="993">
        <f>3220096364.33-E38</f>
        <v>0</v>
      </c>
      <c r="F39" s="993">
        <f>F38+H38</f>
        <v>3404309696.8400002</v>
      </c>
      <c r="G39" s="993">
        <f>G38+I38</f>
        <v>1659749883.7599998</v>
      </c>
      <c r="H39" s="694"/>
      <c r="I39" s="694"/>
      <c r="J39" s="694"/>
      <c r="K39" s="694"/>
      <c r="L39" s="694"/>
      <c r="M39" s="694"/>
      <c r="N39" s="993">
        <f>N38+P38</f>
        <v>4308637934</v>
      </c>
      <c r="O39" s="993">
        <f>O38+Q38</f>
        <v>1546146480.5699999</v>
      </c>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993">
        <f>AN38-[1]Субсидия_факт!$F$35</f>
        <v>2843391471.9999962</v>
      </c>
      <c r="AO39" s="1303">
        <f>4780298780.61-AO38</f>
        <v>0</v>
      </c>
      <c r="AP39" s="694"/>
      <c r="AQ39" s="993"/>
      <c r="AR39" s="993">
        <f>AR38+AW38+'Прочая  субсидия_МР  и  ГО'!AJ43</f>
        <v>247959474.78000003</v>
      </c>
      <c r="AS39" s="694"/>
      <c r="AT39" s="993"/>
      <c r="AU39" s="993">
        <f>AU38+AY38+'Прочая  субсидия_МР  и  ГО'!AK43</f>
        <v>4965519.3899999997</v>
      </c>
      <c r="AV39" s="694"/>
      <c r="AW39" s="993"/>
      <c r="AX39" s="694"/>
      <c r="AY39" s="993"/>
      <c r="AZ39" s="694"/>
      <c r="BA39" s="993"/>
      <c r="BB39" s="694"/>
      <c r="BC39" s="993"/>
      <c r="BD39" s="694"/>
      <c r="BE39" s="993"/>
      <c r="BF39" s="694"/>
      <c r="BG39" s="993"/>
      <c r="BH39" s="993">
        <f>BH38+BL38</f>
        <v>467981942.56</v>
      </c>
      <c r="BI39" s="993">
        <f>BI38+BM38</f>
        <v>467981942.56</v>
      </c>
      <c r="BJ39" s="993">
        <f>BJ38+BN38</f>
        <v>66310013.819999993</v>
      </c>
      <c r="BK39" s="993">
        <f>BK38+BO38</f>
        <v>66310013.819999993</v>
      </c>
      <c r="BL39" s="694"/>
      <c r="BM39" s="694"/>
      <c r="BN39" s="694"/>
      <c r="BO39" s="694"/>
      <c r="BP39" s="694"/>
      <c r="BQ39" s="694"/>
      <c r="BR39" s="694"/>
      <c r="BS39" s="694"/>
      <c r="BT39" s="993">
        <f>BT38+BV38</f>
        <v>0</v>
      </c>
      <c r="BU39" s="993">
        <f>BU38+BW38</f>
        <v>0</v>
      </c>
      <c r="BV39" s="694"/>
      <c r="BW39" s="694"/>
      <c r="BX39" s="694"/>
      <c r="BY39" s="694"/>
      <c r="BZ39" s="694"/>
      <c r="CA39" s="694"/>
      <c r="CB39" s="996"/>
      <c r="CC39" s="996"/>
      <c r="CD39" s="996"/>
      <c r="CE39" s="996"/>
      <c r="CF39" s="996"/>
      <c r="CG39" s="996"/>
      <c r="CH39" s="996"/>
      <c r="CI39" s="996"/>
      <c r="CJ39" s="996"/>
      <c r="CK39" s="996"/>
      <c r="CL39" s="996"/>
      <c r="CM39" s="996"/>
      <c r="CN39" s="996"/>
      <c r="CO39" s="996"/>
      <c r="CP39" s="996"/>
      <c r="CQ39" s="996"/>
      <c r="CR39" s="996"/>
      <c r="CS39" s="996"/>
      <c r="CT39" s="996"/>
      <c r="CU39" s="996"/>
      <c r="CV39" s="996"/>
      <c r="CW39" s="996"/>
      <c r="CX39" s="996"/>
      <c r="CY39" s="996">
        <f>CY38+DK38</f>
        <v>56044391.100000001</v>
      </c>
      <c r="CZ39" s="996">
        <f>CZ38+DL38</f>
        <v>1011540300</v>
      </c>
      <c r="DA39" s="996"/>
      <c r="DB39" s="996"/>
      <c r="DC39" s="996"/>
      <c r="DD39" s="996"/>
      <c r="DE39" s="996"/>
      <c r="DF39" s="996">
        <f>DF38+DN38</f>
        <v>11697924.83</v>
      </c>
      <c r="DG39" s="996">
        <f>DG38+DO38</f>
        <v>222265057.01999998</v>
      </c>
      <c r="DH39" s="996"/>
      <c r="DI39" s="996"/>
      <c r="DJ39" s="996"/>
      <c r="DK39" s="996"/>
      <c r="DL39" s="996"/>
      <c r="DM39" s="996"/>
      <c r="DN39" s="996"/>
      <c r="DO39" s="996"/>
      <c r="DP39" s="996"/>
      <c r="DQ39" s="996"/>
      <c r="DR39" s="996"/>
      <c r="DS39" s="996"/>
      <c r="DT39" s="996"/>
      <c r="DU39" s="996"/>
      <c r="DV39" s="996"/>
      <c r="DW39" s="996"/>
      <c r="DX39" s="996"/>
      <c r="DY39" s="996"/>
      <c r="DZ39" s="996"/>
      <c r="EA39" s="996"/>
      <c r="EB39" s="996"/>
      <c r="EC39" s="996"/>
      <c r="ED39" s="996"/>
      <c r="EE39" s="996"/>
      <c r="EF39" s="996"/>
      <c r="EG39" s="996"/>
      <c r="EH39" s="694"/>
      <c r="EI39" s="694"/>
      <c r="EJ39" s="694"/>
      <c r="EK39" s="694"/>
      <c r="EL39" s="694"/>
      <c r="EM39" s="694"/>
      <c r="EN39" s="996"/>
      <c r="EO39" s="996"/>
      <c r="EP39" s="996"/>
      <c r="EQ39" s="996"/>
      <c r="ER39" s="996"/>
      <c r="ES39" s="996"/>
      <c r="ET39" s="996"/>
      <c r="EU39" s="996"/>
      <c r="EV39" s="996"/>
      <c r="EW39" s="996"/>
      <c r="EX39" s="996"/>
      <c r="EY39" s="996"/>
      <c r="EZ39" s="1304"/>
      <c r="FA39" s="1304"/>
      <c r="FB39" s="996"/>
      <c r="FC39" s="996">
        <f>FC38+FI38</f>
        <v>6600000.0000000019</v>
      </c>
      <c r="FD39" s="996">
        <f>FD38+FJ38</f>
        <v>18686100</v>
      </c>
      <c r="FE39" s="996"/>
      <c r="FF39" s="996">
        <f>FF38+FL38</f>
        <v>219937.09999999998</v>
      </c>
      <c r="FG39" s="996">
        <f>FG38+FM38</f>
        <v>622691.93000000005</v>
      </c>
      <c r="FH39" s="996"/>
      <c r="FI39" s="996"/>
      <c r="FJ39" s="996"/>
      <c r="FK39" s="996"/>
      <c r="FL39" s="996"/>
      <c r="FM39" s="996"/>
      <c r="FN39" s="996"/>
      <c r="FO39" s="996"/>
      <c r="FP39" s="996"/>
      <c r="FQ39" s="996"/>
      <c r="FR39" s="996"/>
      <c r="FS39" s="996"/>
      <c r="FT39" s="996"/>
      <c r="FU39" s="996"/>
      <c r="FV39" s="996"/>
      <c r="FW39" s="996"/>
      <c r="FX39" s="996"/>
      <c r="FY39" s="996"/>
      <c r="FZ39" s="996"/>
      <c r="GA39" s="996"/>
      <c r="GB39" s="996"/>
      <c r="GC39" s="996"/>
      <c r="GD39" s="996"/>
      <c r="GE39" s="996"/>
      <c r="GF39" s="996"/>
      <c r="GG39" s="996">
        <f>GG38+GM38</f>
        <v>53433148.659999982</v>
      </c>
      <c r="GH39" s="996">
        <f>GH38+GN38</f>
        <v>234131380.22999999</v>
      </c>
      <c r="GI39" s="996"/>
      <c r="GJ39" s="996">
        <f>GJ38+GP38</f>
        <v>2659293.25</v>
      </c>
      <c r="GK39" s="996">
        <f>GK38+GQ38</f>
        <v>50526359.969999999</v>
      </c>
      <c r="GL39" s="996"/>
      <c r="GM39" s="996"/>
      <c r="GN39" s="996"/>
      <c r="GO39" s="996"/>
      <c r="GP39" s="996"/>
      <c r="GQ39" s="996"/>
      <c r="GR39" s="996"/>
      <c r="GS39" s="996"/>
      <c r="GT39" s="996"/>
      <c r="GU39" s="996"/>
      <c r="GV39" s="996"/>
      <c r="GW39" s="996"/>
      <c r="GX39" s="996"/>
      <c r="GY39" s="993">
        <f>GY38+HE38</f>
        <v>1755961736.5300002</v>
      </c>
      <c r="GZ39" s="996"/>
      <c r="HA39" s="996"/>
      <c r="HB39" s="996"/>
      <c r="HC39" s="1246">
        <f>HC38+HG38</f>
        <v>510159537.01999992</v>
      </c>
      <c r="HD39" s="1246"/>
      <c r="HE39" s="992"/>
      <c r="HF39" s="1246"/>
      <c r="HG39" s="992"/>
      <c r="HH39" s="1246"/>
      <c r="HI39" s="1246"/>
      <c r="HJ39" s="1246"/>
      <c r="HK39" s="1246"/>
      <c r="HL39" s="996"/>
      <c r="HM39" s="996"/>
      <c r="HN39" s="996"/>
      <c r="HO39" s="996"/>
      <c r="HP39" s="996"/>
      <c r="HQ39" s="996"/>
      <c r="HR39" s="996"/>
      <c r="HS39" s="996">
        <f t="shared" ref="HS39:HW39" si="513">HS38+HY38</f>
        <v>10524052.469999988</v>
      </c>
      <c r="HT39" s="996">
        <f t="shared" si="513"/>
        <v>167793311.36000001</v>
      </c>
      <c r="HU39" s="996"/>
      <c r="HV39" s="996">
        <f t="shared" si="513"/>
        <v>1456788.79</v>
      </c>
      <c r="HW39" s="996">
        <f t="shared" si="513"/>
        <v>144222088.74000001</v>
      </c>
      <c r="HX39" s="996"/>
      <c r="HY39" s="996"/>
      <c r="HZ39" s="996"/>
      <c r="IA39" s="996"/>
      <c r="IB39" s="996"/>
      <c r="IC39" s="996"/>
      <c r="ID39" s="996"/>
      <c r="IE39" s="996"/>
      <c r="IF39" s="996"/>
      <c r="IG39" s="996"/>
      <c r="IH39" s="996"/>
      <c r="II39" s="996"/>
      <c r="IJ39" s="996"/>
      <c r="IK39" s="996"/>
      <c r="IL39" s="996"/>
      <c r="IM39" s="996"/>
      <c r="IN39" s="996"/>
      <c r="IO39" s="996"/>
      <c r="IP39" s="996"/>
      <c r="IQ39" s="996">
        <f>IQ38+IW38</f>
        <v>131578.95000000001</v>
      </c>
      <c r="IR39" s="996">
        <f>IR38+IX38</f>
        <v>2500000</v>
      </c>
      <c r="IS39" s="996"/>
      <c r="IT39" s="996">
        <f>IT38+IZ38</f>
        <v>0</v>
      </c>
      <c r="IU39" s="996">
        <f>IU38+JA38</f>
        <v>0</v>
      </c>
      <c r="IV39" s="996"/>
      <c r="IW39" s="996"/>
      <c r="IX39" s="996"/>
      <c r="IY39" s="996"/>
      <c r="IZ39" s="996"/>
      <c r="JA39" s="996"/>
      <c r="JB39" s="996"/>
      <c r="JC39" s="996"/>
      <c r="JD39" s="996"/>
      <c r="JE39" s="996"/>
      <c r="JF39" s="996"/>
      <c r="JG39" s="996"/>
      <c r="JH39" s="996"/>
      <c r="JI39" s="996"/>
      <c r="JJ39" s="996"/>
      <c r="JK39" s="996"/>
      <c r="JL39" s="996"/>
      <c r="JM39" s="996"/>
      <c r="JN39" s="996"/>
      <c r="JO39" s="996"/>
      <c r="JP39" s="996"/>
      <c r="JQ39" s="996"/>
      <c r="JR39" s="993">
        <f>JR38+'Проверочная  таблица'!JX38</f>
        <v>36716.63999999997</v>
      </c>
      <c r="JS39" s="993">
        <f>JS38+'Проверочная  таблица'!JY38</f>
        <v>0</v>
      </c>
      <c r="JT39" s="993">
        <f>JT38+'Проверочная  таблица'!JZ38</f>
        <v>36716.63999999997</v>
      </c>
      <c r="JU39" s="993">
        <f>JU38+'Проверочная  таблица'!KA38</f>
        <v>0</v>
      </c>
      <c r="JV39" s="993">
        <f>JV38+'Проверочная  таблица'!KB38</f>
        <v>0</v>
      </c>
      <c r="JW39" s="993">
        <f>JW38+'Проверочная  таблица'!KC38</f>
        <v>0</v>
      </c>
      <c r="JX39" s="694"/>
      <c r="JY39" s="694"/>
      <c r="JZ39" s="694"/>
      <c r="KA39" s="694"/>
      <c r="KB39" s="694"/>
      <c r="KC39" s="694"/>
      <c r="KD39" s="992"/>
      <c r="KE39" s="992"/>
      <c r="KF39" s="992"/>
      <c r="KG39" s="992"/>
      <c r="KH39" s="992"/>
      <c r="KI39" s="992"/>
      <c r="KJ39" s="992"/>
      <c r="KK39" s="992"/>
      <c r="KL39" s="992"/>
      <c r="KM39" s="992"/>
      <c r="KN39" s="992"/>
      <c r="KO39" s="992"/>
      <c r="KP39" s="992"/>
      <c r="KQ39" s="1246">
        <f>KQ38+LA38</f>
        <v>27256531.120000001</v>
      </c>
      <c r="KR39" s="1246">
        <f>KR38+LB38</f>
        <v>9055887.7100000009</v>
      </c>
      <c r="KS39" s="1246">
        <f t="shared" ref="KS39:KT39" si="514">KS38+LC38</f>
        <v>3726800</v>
      </c>
      <c r="KT39" s="1246">
        <f t="shared" si="514"/>
        <v>6524400</v>
      </c>
      <c r="KU39" s="992"/>
      <c r="KV39" s="1246">
        <f>KV38+LF38</f>
        <v>0</v>
      </c>
      <c r="KW39" s="1246">
        <f>KW38+LG38</f>
        <v>0</v>
      </c>
      <c r="KX39" s="1246">
        <f>KX38+LH38</f>
        <v>0</v>
      </c>
      <c r="KY39" s="1246">
        <f>KY38+LI38</f>
        <v>0</v>
      </c>
      <c r="KZ39" s="992"/>
      <c r="LA39" s="992"/>
      <c r="LB39" s="992"/>
      <c r="LC39" s="992"/>
      <c r="LD39" s="992"/>
      <c r="LE39" s="992"/>
      <c r="LF39" s="992"/>
      <c r="LG39" s="992"/>
      <c r="LH39" s="992"/>
      <c r="LI39" s="992"/>
      <c r="LJ39" s="992"/>
      <c r="LK39" s="992"/>
      <c r="LL39" s="992"/>
      <c r="LM39" s="992"/>
      <c r="LN39" s="992"/>
      <c r="LO39" s="992"/>
      <c r="LP39" s="992"/>
      <c r="LQ39" s="992"/>
      <c r="LR39" s="992"/>
      <c r="LS39" s="992"/>
      <c r="LT39" s="992"/>
      <c r="LU39" s="992"/>
      <c r="LV39" s="992"/>
      <c r="LW39" s="996">
        <f>LW38+'Проверочная  таблица'!ME38</f>
        <v>0</v>
      </c>
      <c r="LX39" s="996">
        <f>LX38+'Проверочная  таблица'!MF38</f>
        <v>10465281.08</v>
      </c>
      <c r="LY39" s="996">
        <f>LY38+'Проверочная  таблица'!MG38</f>
        <v>29785800</v>
      </c>
      <c r="LZ39" s="992"/>
      <c r="MA39" s="996">
        <f>MA38+'Проверочная  таблица'!MI38</f>
        <v>0</v>
      </c>
      <c r="MB39" s="996">
        <f>MB38+'Проверочная  таблица'!MJ38</f>
        <v>5488602.29</v>
      </c>
      <c r="MC39" s="996">
        <f>MC38+'Проверочная  таблица'!MK38</f>
        <v>15621406.539999999</v>
      </c>
      <c r="MD39" s="996"/>
      <c r="ME39" s="996"/>
      <c r="MF39" s="992"/>
      <c r="MG39" s="992"/>
      <c r="MH39" s="996"/>
      <c r="MI39" s="996"/>
      <c r="MJ39" s="996"/>
      <c r="MK39" s="996"/>
      <c r="ML39" s="996"/>
      <c r="MM39" s="996"/>
      <c r="MN39" s="996"/>
      <c r="MO39" s="996"/>
      <c r="MP39" s="996"/>
      <c r="MQ39" s="996"/>
      <c r="MR39" s="996"/>
      <c r="MS39" s="996"/>
      <c r="MT39" s="996"/>
      <c r="MU39" s="996"/>
      <c r="MV39" s="996"/>
      <c r="MW39" s="996"/>
      <c r="MX39" s="996"/>
      <c r="MY39" s="996"/>
      <c r="MZ39" s="996"/>
      <c r="NA39" s="996"/>
      <c r="NB39" s="1185"/>
      <c r="NC39" s="996"/>
      <c r="ND39" s="996"/>
      <c r="NE39" s="996"/>
      <c r="NF39" s="996"/>
      <c r="NG39" s="996"/>
      <c r="NH39" s="996">
        <f>NH38+'Проверочная  таблица'!NS38</f>
        <v>1294132.43</v>
      </c>
      <c r="NI39" s="996">
        <f>NI38+'Проверочная  таблица'!NT38</f>
        <v>168192400</v>
      </c>
      <c r="NJ39" s="1185"/>
      <c r="NK39" s="996"/>
      <c r="NL39" s="996"/>
      <c r="NM39" s="996"/>
      <c r="NN39" s="996"/>
      <c r="NO39" s="996"/>
      <c r="NP39" s="996">
        <f>NP38+'Проверочная  таблица'!NV38</f>
        <v>993108.16999999981</v>
      </c>
      <c r="NQ39" s="996">
        <f>NQ38+'Проверочная  таблица'!NW38</f>
        <v>2826538.5900000003</v>
      </c>
      <c r="NR39" s="1185"/>
      <c r="NS39" s="1185"/>
      <c r="NT39" s="1185"/>
      <c r="NU39" s="1185"/>
      <c r="NV39" s="1185"/>
      <c r="NW39" s="1185"/>
      <c r="NX39" s="1185"/>
      <c r="NY39" s="1185"/>
      <c r="NZ39" s="1185"/>
      <c r="OA39" s="1185"/>
      <c r="OB39" s="1185"/>
      <c r="OC39" s="1185"/>
      <c r="OD39" s="1185"/>
      <c r="OE39" s="1185"/>
      <c r="OF39" s="1185"/>
      <c r="OG39" s="1185"/>
      <c r="OH39" s="1185"/>
      <c r="OI39" s="1185"/>
      <c r="OJ39" s="694"/>
      <c r="OK39" s="694"/>
      <c r="OL39" s="694"/>
      <c r="OM39" s="694"/>
      <c r="ON39" s="694"/>
      <c r="OO39" s="694"/>
      <c r="OP39" s="992"/>
      <c r="OQ39" s="992"/>
      <c r="OR39" s="993"/>
      <c r="OS39" s="993">
        <f>OS38+'Проверочная  таблица'!PA38</f>
        <v>118336029.97999999</v>
      </c>
      <c r="OT39" s="993">
        <f>OT38+'Проверочная  таблица'!PB38</f>
        <v>416944914.11000001</v>
      </c>
      <c r="OU39" s="993">
        <f>OU38+PC38</f>
        <v>383254771.56999999</v>
      </c>
      <c r="OV39" s="993"/>
      <c r="OW39" s="993">
        <f>OW38+'Проверочная  таблица'!PE38</f>
        <v>6651685.6299999999</v>
      </c>
      <c r="OX39" s="993">
        <f>OX38+'Проверочная  таблица'!PF38</f>
        <v>126381994.62</v>
      </c>
      <c r="OY39" s="993">
        <f>OY38+PG38</f>
        <v>76254899.439999998</v>
      </c>
      <c r="OZ39" s="694"/>
      <c r="PA39" s="694"/>
      <c r="PB39" s="694"/>
      <c r="PC39" s="694"/>
      <c r="PD39" s="694"/>
      <c r="PE39" s="694"/>
      <c r="PF39" s="694"/>
      <c r="PG39" s="694"/>
      <c r="PH39" s="992"/>
      <c r="PI39" s="992"/>
      <c r="PJ39" s="992"/>
      <c r="PK39" s="992"/>
      <c r="PL39" s="992"/>
      <c r="PM39" s="992"/>
      <c r="PN39" s="992"/>
      <c r="PO39" s="992"/>
      <c r="PP39" s="992"/>
      <c r="PQ39" s="992"/>
      <c r="PR39" s="992"/>
      <c r="PS39" s="992"/>
      <c r="PT39" s="992"/>
      <c r="PU39" s="992"/>
      <c r="PV39" s="992"/>
      <c r="PW39" s="992"/>
      <c r="PX39" s="992"/>
      <c r="PY39" s="1305">
        <f>PY38+QI38</f>
        <v>470132.31999999989</v>
      </c>
      <c r="PZ39" s="1305">
        <f>PZ38+QJ38</f>
        <v>8932514.2699999996</v>
      </c>
      <c r="QA39" s="1305"/>
      <c r="QB39" s="1305"/>
      <c r="QC39" s="992"/>
      <c r="QD39" s="1305">
        <f>QD38+QL38</f>
        <v>62401.11</v>
      </c>
      <c r="QE39" s="1305">
        <f>QE38+QM38</f>
        <v>1185621.1599999999</v>
      </c>
      <c r="QF39" s="1305"/>
      <c r="QG39" s="1305"/>
      <c r="QH39" s="694"/>
      <c r="QI39" s="694"/>
      <c r="QJ39" s="694"/>
      <c r="QK39" s="694"/>
      <c r="QL39" s="694"/>
      <c r="QM39" s="694"/>
      <c r="QN39" s="694"/>
      <c r="QO39" s="694"/>
      <c r="QP39" s="694"/>
      <c r="QQ39" s="694"/>
      <c r="QR39" s="694"/>
      <c r="QS39" s="694"/>
      <c r="QT39" s="694"/>
      <c r="QU39" s="694"/>
      <c r="QV39" s="694"/>
      <c r="QW39" s="694"/>
      <c r="QX39" s="694"/>
      <c r="QY39" s="694"/>
      <c r="QZ39" s="996"/>
      <c r="RA39" s="996"/>
      <c r="RB39" s="996"/>
      <c r="RC39" s="996"/>
      <c r="RD39" s="996"/>
      <c r="RE39" s="996"/>
      <c r="RF39" s="996"/>
      <c r="RG39" s="996">
        <f>RG38+RM38</f>
        <v>0</v>
      </c>
      <c r="RH39" s="996">
        <f>RH38+RN38</f>
        <v>0</v>
      </c>
      <c r="RI39" s="996"/>
      <c r="RJ39" s="996">
        <f>RJ38+RP38</f>
        <v>0</v>
      </c>
      <c r="RK39" s="996">
        <f>RK38+RQ38</f>
        <v>0</v>
      </c>
      <c r="RL39" s="996"/>
      <c r="RM39" s="996"/>
      <c r="RN39" s="996"/>
      <c r="RO39" s="996"/>
      <c r="RP39" s="996"/>
      <c r="RQ39" s="996"/>
      <c r="RR39" s="996"/>
      <c r="RS39" s="996"/>
      <c r="RT39" s="996"/>
      <c r="RU39" s="996"/>
      <c r="RV39" s="996"/>
      <c r="RW39" s="996"/>
      <c r="RX39" s="996"/>
      <c r="RY39" s="996"/>
      <c r="RZ39" s="996"/>
      <c r="SA39" s="996"/>
      <c r="SB39" s="996"/>
      <c r="SC39" s="996"/>
      <c r="SD39" s="996"/>
      <c r="SE39" s="996"/>
      <c r="SF39" s="996"/>
      <c r="SG39" s="996"/>
      <c r="SH39" s="996"/>
      <c r="SI39" s="996"/>
      <c r="SJ39" s="996"/>
      <c r="SK39" s="996"/>
      <c r="SL39" s="996"/>
      <c r="SM39" s="996"/>
      <c r="SN39" s="996"/>
      <c r="SO39" s="996"/>
      <c r="SP39" s="996"/>
      <c r="SQ39" s="996"/>
      <c r="SR39" s="996"/>
      <c r="SS39" s="996"/>
      <c r="ST39" s="996"/>
      <c r="SU39" s="996"/>
      <c r="SV39" s="996"/>
      <c r="SW39" s="996"/>
      <c r="SX39" s="694"/>
      <c r="SY39" s="993">
        <f t="shared" ref="SY39:SZ39" si="515">SY38+TM38</f>
        <v>11552557.890000001</v>
      </c>
      <c r="SZ39" s="993">
        <f t="shared" si="515"/>
        <v>219498600</v>
      </c>
      <c r="TA39" s="993">
        <f>TA38+TO38</f>
        <v>170701.76000000024</v>
      </c>
      <c r="TB39" s="993">
        <f>TB38+TP38</f>
        <v>3243333.44</v>
      </c>
      <c r="TC39" s="993">
        <f>TC38+TQ38+QA38</f>
        <v>80882159.389999986</v>
      </c>
      <c r="TD39" s="993">
        <f>TD38+TR38+QB38</f>
        <v>1400016000</v>
      </c>
      <c r="TE39" s="694"/>
      <c r="TF39" s="993">
        <f t="shared" ref="TF39:TG39" si="516">TF38+TT38</f>
        <v>1521055.58</v>
      </c>
      <c r="TG39" s="993">
        <f t="shared" si="516"/>
        <v>28900057.549999997</v>
      </c>
      <c r="TH39" s="993">
        <f>TH38+TV38</f>
        <v>0</v>
      </c>
      <c r="TI39" s="993">
        <f>TI38+TW38</f>
        <v>0</v>
      </c>
      <c r="TJ39" s="993">
        <f>TJ38+TX38+QF38</f>
        <v>31777162.530000001</v>
      </c>
      <c r="TK39" s="993">
        <f>TK38+TY38+QG38</f>
        <v>603766088.18000007</v>
      </c>
      <c r="TL39" s="694"/>
      <c r="TM39" s="694"/>
      <c r="TN39" s="694"/>
      <c r="TO39" s="694"/>
      <c r="TP39" s="694"/>
      <c r="TQ39" s="694"/>
      <c r="TR39" s="694"/>
      <c r="TS39" s="694"/>
      <c r="TT39" s="694"/>
      <c r="TU39" s="694"/>
      <c r="TV39" s="694"/>
      <c r="TW39" s="694"/>
      <c r="TX39" s="694"/>
      <c r="TY39" s="694"/>
      <c r="TZ39" s="694"/>
      <c r="UA39" s="694"/>
      <c r="UB39" s="694"/>
      <c r="UC39" s="694"/>
      <c r="UD39" s="694"/>
      <c r="UE39" s="694"/>
      <c r="UF39" s="694"/>
      <c r="UG39" s="694"/>
      <c r="UH39" s="694"/>
      <c r="UI39" s="694"/>
      <c r="UJ39" s="694"/>
      <c r="UK39" s="694"/>
      <c r="UL39" s="694"/>
      <c r="UM39" s="694"/>
      <c r="UN39" s="694"/>
      <c r="UO39" s="694"/>
      <c r="UP39" s="694"/>
      <c r="UQ39" s="694"/>
      <c r="UR39" s="694"/>
      <c r="US39" s="694"/>
      <c r="UT39" s="694"/>
      <c r="UU39" s="694"/>
      <c r="UV39" s="694"/>
      <c r="UW39" s="694"/>
      <c r="UX39" s="694"/>
      <c r="UY39" s="694"/>
      <c r="UZ39" s="694"/>
      <c r="VA39" s="694"/>
      <c r="VB39" s="996">
        <f>VB38+VD38</f>
        <v>4143969256.6800008</v>
      </c>
      <c r="VC39" s="996">
        <f>VC38+VE38</f>
        <v>995562347.96000016</v>
      </c>
      <c r="VD39" s="694"/>
      <c r="VE39" s="694"/>
      <c r="VF39" s="694"/>
      <c r="VG39" s="694"/>
      <c r="VH39" s="694"/>
      <c r="VI39" s="694"/>
      <c r="VJ39" s="993">
        <f>VJ38-([1]Субвенция_факт!$D$37-[1]Субвенция_факт!$D$39)</f>
        <v>0</v>
      </c>
      <c r="VK39" s="993"/>
      <c r="VL39" s="993">
        <f>VL38-'Федеральные  средства  по  МО'!CH36</f>
        <v>0</v>
      </c>
      <c r="VM39" s="993">
        <f>10568540926.67-[1]Субвенция_факт!$E$39-VM38</f>
        <v>0</v>
      </c>
      <c r="VN39" s="993"/>
      <c r="VO39" s="694"/>
      <c r="VP39" s="993"/>
      <c r="VQ39" s="993"/>
      <c r="VR39" s="1185"/>
      <c r="VS39" s="1185"/>
      <c r="VT39" s="1185"/>
      <c r="VU39" s="1185"/>
      <c r="VV39" s="993"/>
      <c r="VW39" s="993">
        <f>VW38+VU38-ВУС!D5</f>
        <v>0</v>
      </c>
      <c r="VX39" s="694"/>
      <c r="VY39" s="993">
        <f>0-VY38</f>
        <v>0</v>
      </c>
      <c r="VZ39" s="993"/>
      <c r="WA39" s="993">
        <f>0-WA38</f>
        <v>0</v>
      </c>
      <c r="WB39" s="993"/>
      <c r="WC39" s="993">
        <f>0-WC38</f>
        <v>0</v>
      </c>
      <c r="WD39" s="993"/>
      <c r="WE39" s="993">
        <f>3105098-WE38</f>
        <v>0</v>
      </c>
      <c r="WF39" s="993"/>
      <c r="WG39" s="993"/>
      <c r="WH39" s="993"/>
      <c r="WI39" s="993"/>
      <c r="WJ39" s="993"/>
      <c r="WK39" s="993"/>
      <c r="WL39" s="694"/>
      <c r="WM39" s="694"/>
      <c r="WN39" s="694"/>
      <c r="WO39" s="694"/>
      <c r="WP39" s="694"/>
      <c r="WQ39" s="993"/>
      <c r="WR39" s="994">
        <f>'[1]Иные межбюджетные трансферты'!$B$35-WR38</f>
        <v>0</v>
      </c>
      <c r="WS39" s="994">
        <f>1733029102.45-'[1]Иные межбюджетные трансферты'!$C$45-WS38</f>
        <v>0</v>
      </c>
      <c r="WT39" s="994"/>
      <c r="WU39" s="994"/>
      <c r="WV39" s="994"/>
      <c r="WW39" s="994"/>
      <c r="WX39" s="994"/>
      <c r="WY39" s="994"/>
      <c r="WZ39" s="994"/>
      <c r="XA39" s="994"/>
      <c r="XB39" s="994"/>
      <c r="XC39" s="994"/>
      <c r="XD39" s="994"/>
      <c r="XE39" s="994"/>
      <c r="XF39" s="694"/>
      <c r="XG39" s="694"/>
      <c r="XH39" s="694"/>
      <c r="XI39" s="694"/>
      <c r="XJ39" s="694"/>
      <c r="XK39" s="993"/>
      <c r="XL39" s="993">
        <f>XL38+XP38</f>
        <v>240950249.07999998</v>
      </c>
      <c r="XM39" s="993">
        <f>XM38+XQ38</f>
        <v>240950249.07999998</v>
      </c>
      <c r="XN39" s="993">
        <f>XN38+XR38</f>
        <v>7504113.5299999993</v>
      </c>
      <c r="XO39" s="993">
        <f>XO38+XS38</f>
        <v>7504113.5299999993</v>
      </c>
      <c r="XP39" s="993"/>
      <c r="XQ39" s="993"/>
      <c r="XR39" s="993"/>
      <c r="XS39" s="993"/>
      <c r="XT39" s="993"/>
      <c r="XU39" s="993"/>
      <c r="XV39" s="993"/>
      <c r="XW39" s="993"/>
      <c r="XX39" s="1185"/>
      <c r="XY39" s="1185"/>
      <c r="XZ39" s="1185"/>
      <c r="YA39" s="996">
        <f>YA38+YU38</f>
        <v>60268440.949999996</v>
      </c>
      <c r="YB39" s="1185"/>
      <c r="YC39" s="995">
        <f>YC38+YV38</f>
        <v>166609560</v>
      </c>
      <c r="YD39" s="995">
        <f>YD38+YW38</f>
        <v>640000000</v>
      </c>
      <c r="YE39" s="996">
        <f>YE38+YX38</f>
        <v>52850182.25</v>
      </c>
      <c r="YF39" s="1185"/>
      <c r="YG39" s="1185"/>
      <c r="YH39" s="1305">
        <f>YH38+YY38</f>
        <v>131408583.34999999</v>
      </c>
      <c r="YI39" s="1185"/>
      <c r="YJ39" s="1185"/>
      <c r="YK39" s="1185"/>
      <c r="YL39" s="996">
        <f>YL38+ZA38</f>
        <v>30149642.579999998</v>
      </c>
      <c r="YM39" s="1185"/>
      <c r="YN39" s="995">
        <f>YN38+ZB38</f>
        <v>166609560</v>
      </c>
      <c r="YO39" s="995">
        <f>YO38+ZC38</f>
        <v>17249909.460000001</v>
      </c>
      <c r="YP39" s="996">
        <f>YP38+ZD38</f>
        <v>10488606.550000001</v>
      </c>
      <c r="YQ39" s="1185"/>
      <c r="YR39" s="1185"/>
      <c r="YS39" s="1305">
        <f>YS38+ZE38</f>
        <v>31406220.010000005</v>
      </c>
      <c r="YT39" s="694"/>
      <c r="YU39" s="694"/>
      <c r="YV39" s="694"/>
      <c r="YW39" s="694"/>
      <c r="YX39" s="694"/>
      <c r="YY39" s="694"/>
      <c r="YZ39" s="694"/>
      <c r="ZA39" s="694"/>
      <c r="ZB39" s="694"/>
      <c r="ZC39" s="694"/>
      <c r="ZD39" s="694"/>
      <c r="ZE39" s="694"/>
      <c r="ZF39" s="694"/>
      <c r="ZG39" s="694"/>
      <c r="ZH39" s="694"/>
      <c r="ZI39" s="694"/>
      <c r="ZJ39" s="694"/>
      <c r="ZK39" s="694"/>
      <c r="ZL39" s="694"/>
      <c r="ZM39" s="694"/>
      <c r="ZN39" s="694"/>
      <c r="ZO39" s="694"/>
      <c r="ZP39" s="694"/>
      <c r="ZQ39" s="694"/>
      <c r="ZR39" s="694"/>
      <c r="ZS39" s="694"/>
      <c r="ZT39" s="694"/>
      <c r="ZU39" s="694"/>
      <c r="ZV39" s="694"/>
      <c r="ZW39" s="694"/>
      <c r="ZX39" s="694"/>
      <c r="ZY39" s="694"/>
      <c r="ZZ39" s="694"/>
      <c r="AAA39" s="694"/>
      <c r="AAB39" s="694"/>
      <c r="AAC39" s="694"/>
      <c r="AAD39" s="694"/>
      <c r="AAE39" s="993"/>
      <c r="AAF39" s="993">
        <f>AAF38+AAJ38+AAL38</f>
        <v>0</v>
      </c>
      <c r="AAG39" s="993">
        <f>AAG38+AAK38+AAM38</f>
        <v>0</v>
      </c>
      <c r="AAH39" s="993"/>
      <c r="AAI39" s="993"/>
      <c r="AAJ39" s="993"/>
      <c r="AAK39" s="993"/>
      <c r="AAL39" s="993"/>
      <c r="AAM39" s="993"/>
      <c r="AAN39" s="993">
        <f>AAN38+AAR38+AAT38</f>
        <v>-1638800000.1600001</v>
      </c>
      <c r="AAO39" s="993">
        <f>AAO38+AAS38+AAU38</f>
        <v>-30000000</v>
      </c>
      <c r="AAP39" s="993"/>
      <c r="AAQ39" s="993"/>
      <c r="AAR39" s="993"/>
      <c r="AAS39" s="993"/>
      <c r="AAT39" s="694"/>
      <c r="AAU39" s="694"/>
      <c r="AAV39" s="993"/>
      <c r="AAW39" s="694"/>
    </row>
    <row r="40" spans="1:725" ht="24" customHeight="1" x14ac:dyDescent="0.25">
      <c r="A40" s="694"/>
      <c r="B40" s="993"/>
      <c r="C40" s="993"/>
      <c r="D40" s="993"/>
      <c r="E40" s="993"/>
      <c r="F40" s="993"/>
      <c r="G40" s="993"/>
      <c r="H40" s="694"/>
      <c r="I40" s="694"/>
      <c r="J40" s="694"/>
      <c r="K40" s="694"/>
      <c r="L40" s="694"/>
      <c r="M40" s="694"/>
      <c r="N40" s="993"/>
      <c r="O40" s="993"/>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993"/>
      <c r="AO40" s="694"/>
      <c r="AP40" s="694"/>
      <c r="AQ40" s="993"/>
      <c r="AR40" s="993"/>
      <c r="AS40" s="694"/>
      <c r="AT40" s="993"/>
      <c r="AU40" s="993"/>
      <c r="AV40" s="694"/>
      <c r="AW40" s="993"/>
      <c r="AX40" s="694"/>
      <c r="AY40" s="993"/>
      <c r="AZ40" s="694"/>
      <c r="BA40" s="993"/>
      <c r="BB40" s="694"/>
      <c r="BC40" s="993"/>
      <c r="BD40" s="694"/>
      <c r="BE40" s="993"/>
      <c r="BF40" s="694"/>
      <c r="BG40" s="993"/>
      <c r="BH40" s="993"/>
      <c r="BI40" s="993"/>
      <c r="BJ40" s="993"/>
      <c r="BK40" s="993"/>
      <c r="BL40" s="694"/>
      <c r="BM40" s="694"/>
      <c r="BN40" s="694"/>
      <c r="BO40" s="694"/>
      <c r="BP40" s="694"/>
      <c r="BQ40" s="694"/>
      <c r="BR40" s="694"/>
      <c r="BS40" s="694"/>
      <c r="BT40" s="993"/>
      <c r="BU40" s="993"/>
      <c r="BV40" s="694"/>
      <c r="BW40" s="694"/>
      <c r="BX40" s="694"/>
      <c r="BY40" s="694"/>
      <c r="BZ40" s="694"/>
      <c r="CA40" s="694"/>
      <c r="CB40" s="996"/>
      <c r="CC40" s="996"/>
      <c r="CD40" s="996"/>
      <c r="CE40" s="996"/>
      <c r="CF40" s="996"/>
      <c r="CG40" s="996"/>
      <c r="CH40" s="996"/>
      <c r="CI40" s="996"/>
      <c r="CJ40" s="996"/>
      <c r="CK40" s="996"/>
      <c r="CL40" s="996"/>
      <c r="CM40" s="996"/>
      <c r="CN40" s="996"/>
      <c r="CO40" s="996"/>
      <c r="CP40" s="996"/>
      <c r="CQ40" s="996"/>
      <c r="CR40" s="996"/>
      <c r="CS40" s="996"/>
      <c r="CT40" s="996"/>
      <c r="CU40" s="996"/>
      <c r="CV40" s="996"/>
      <c r="CW40" s="996"/>
      <c r="CX40" s="996"/>
      <c r="CY40" s="996"/>
      <c r="CZ40" s="996"/>
      <c r="DA40" s="996"/>
      <c r="DB40" s="996"/>
      <c r="DC40" s="996"/>
      <c r="DD40" s="996"/>
      <c r="DE40" s="996"/>
      <c r="DF40" s="996"/>
      <c r="DG40" s="996"/>
      <c r="DH40" s="996"/>
      <c r="DI40" s="996"/>
      <c r="DJ40" s="996"/>
      <c r="DK40" s="996"/>
      <c r="DL40" s="996"/>
      <c r="DM40" s="996"/>
      <c r="DN40" s="996"/>
      <c r="DO40" s="996"/>
      <c r="DP40" s="996"/>
      <c r="DQ40" s="996"/>
      <c r="DR40" s="996"/>
      <c r="DS40" s="996"/>
      <c r="DT40" s="996"/>
      <c r="DU40" s="996"/>
      <c r="DV40" s="996"/>
      <c r="DW40" s="996"/>
      <c r="DX40" s="996"/>
      <c r="DY40" s="996"/>
      <c r="DZ40" s="996"/>
      <c r="EA40" s="996"/>
      <c r="EB40" s="996"/>
      <c r="EC40" s="996"/>
      <c r="ED40" s="996"/>
      <c r="EE40" s="996"/>
      <c r="EF40" s="996"/>
      <c r="EG40" s="996"/>
      <c r="EH40" s="694"/>
      <c r="EI40" s="694"/>
      <c r="EJ40" s="694"/>
      <c r="EK40" s="694"/>
      <c r="EL40" s="694"/>
      <c r="EM40" s="694"/>
      <c r="EN40" s="996"/>
      <c r="EO40" s="996"/>
      <c r="EP40" s="996"/>
      <c r="EQ40" s="996"/>
      <c r="ER40" s="996"/>
      <c r="ES40" s="996"/>
      <c r="ET40" s="996"/>
      <c r="EU40" s="996"/>
      <c r="EV40" s="996"/>
      <c r="EW40" s="996"/>
      <c r="EX40" s="996"/>
      <c r="EY40" s="996"/>
      <c r="EZ40" s="1304"/>
      <c r="FA40" s="1304"/>
      <c r="FB40" s="996"/>
      <c r="FC40" s="996"/>
      <c r="FD40" s="996"/>
      <c r="FE40" s="996"/>
      <c r="FF40" s="996"/>
      <c r="FG40" s="996"/>
      <c r="FH40" s="996"/>
      <c r="FI40" s="996"/>
      <c r="FJ40" s="996"/>
      <c r="FK40" s="996"/>
      <c r="FL40" s="996"/>
      <c r="FM40" s="996"/>
      <c r="FN40" s="996"/>
      <c r="FO40" s="996"/>
      <c r="FP40" s="996"/>
      <c r="FQ40" s="996"/>
      <c r="FR40" s="996"/>
      <c r="FS40" s="996"/>
      <c r="FT40" s="996"/>
      <c r="FU40" s="996"/>
      <c r="FV40" s="996"/>
      <c r="FW40" s="996"/>
      <c r="FX40" s="996"/>
      <c r="FY40" s="996"/>
      <c r="FZ40" s="996"/>
      <c r="GA40" s="996"/>
      <c r="GB40" s="996"/>
      <c r="GC40" s="996"/>
      <c r="GD40" s="996"/>
      <c r="GE40" s="996"/>
      <c r="GF40" s="996"/>
      <c r="GG40" s="996"/>
      <c r="GH40" s="996"/>
      <c r="GI40" s="996"/>
      <c r="GJ40" s="996"/>
      <c r="GK40" s="996"/>
      <c r="GL40" s="996"/>
      <c r="GM40" s="996"/>
      <c r="GN40" s="996"/>
      <c r="GO40" s="996"/>
      <c r="GP40" s="996"/>
      <c r="GQ40" s="996"/>
      <c r="GR40" s="996"/>
      <c r="GS40" s="996"/>
      <c r="GT40" s="996"/>
      <c r="GU40" s="996"/>
      <c r="GV40" s="996"/>
      <c r="GW40" s="996"/>
      <c r="GX40" s="996"/>
      <c r="GY40" s="993"/>
      <c r="GZ40" s="996"/>
      <c r="HA40" s="996"/>
      <c r="HB40" s="996"/>
      <c r="HC40" s="1246"/>
      <c r="HD40" s="1246"/>
      <c r="HE40" s="992"/>
      <c r="HF40" s="1246"/>
      <c r="HG40" s="992"/>
      <c r="HH40" s="1246"/>
      <c r="HI40" s="1246"/>
      <c r="HJ40" s="1246"/>
      <c r="HK40" s="1246"/>
      <c r="HL40" s="996"/>
      <c r="HM40" s="996"/>
      <c r="HN40" s="996"/>
      <c r="HO40" s="996"/>
      <c r="HP40" s="996"/>
      <c r="HQ40" s="996"/>
      <c r="HR40" s="996"/>
      <c r="HS40" s="996"/>
      <c r="HT40" s="996"/>
      <c r="HU40" s="996"/>
      <c r="HV40" s="996"/>
      <c r="HW40" s="996"/>
      <c r="HX40" s="996"/>
      <c r="HY40" s="996"/>
      <c r="HZ40" s="996"/>
      <c r="IA40" s="996"/>
      <c r="IB40" s="996"/>
      <c r="IC40" s="996"/>
      <c r="ID40" s="996"/>
      <c r="IE40" s="996"/>
      <c r="IF40" s="996"/>
      <c r="IG40" s="996"/>
      <c r="IH40" s="996"/>
      <c r="II40" s="996"/>
      <c r="IJ40" s="996"/>
      <c r="IK40" s="996"/>
      <c r="IL40" s="996"/>
      <c r="IM40" s="996"/>
      <c r="IN40" s="996"/>
      <c r="IO40" s="996"/>
      <c r="IP40" s="996"/>
      <c r="IQ40" s="996"/>
      <c r="IR40" s="996"/>
      <c r="IS40" s="996"/>
      <c r="IT40" s="996"/>
      <c r="IU40" s="996"/>
      <c r="IV40" s="996"/>
      <c r="IW40" s="996"/>
      <c r="IX40" s="996"/>
      <c r="IY40" s="996"/>
      <c r="IZ40" s="996"/>
      <c r="JA40" s="996"/>
      <c r="JB40" s="996"/>
      <c r="JC40" s="996"/>
      <c r="JD40" s="996"/>
      <c r="JE40" s="996"/>
      <c r="JF40" s="996"/>
      <c r="JG40" s="996"/>
      <c r="JH40" s="996"/>
      <c r="JI40" s="996"/>
      <c r="JJ40" s="996"/>
      <c r="JK40" s="996"/>
      <c r="JL40" s="996"/>
      <c r="JM40" s="996"/>
      <c r="JN40" s="996"/>
      <c r="JO40" s="996"/>
      <c r="JP40" s="996"/>
      <c r="JQ40" s="996"/>
      <c r="JR40" s="993"/>
      <c r="JS40" s="993"/>
      <c r="JT40" s="993"/>
      <c r="JU40" s="993"/>
      <c r="JV40" s="993"/>
      <c r="JW40" s="993"/>
      <c r="JX40" s="694"/>
      <c r="JY40" s="694"/>
      <c r="JZ40" s="694"/>
      <c r="KA40" s="694"/>
      <c r="KB40" s="694"/>
      <c r="KC40" s="694"/>
      <c r="KD40" s="992"/>
      <c r="KE40" s="992"/>
      <c r="KF40" s="992"/>
      <c r="KG40" s="992"/>
      <c r="KH40" s="992"/>
      <c r="KI40" s="992"/>
      <c r="KJ40" s="992"/>
      <c r="KK40" s="992"/>
      <c r="KL40" s="992"/>
      <c r="KM40" s="992"/>
      <c r="KN40" s="992"/>
      <c r="KO40" s="992"/>
      <c r="KP40" s="992"/>
      <c r="KQ40" s="1246"/>
      <c r="KR40" s="1246"/>
      <c r="KS40" s="1246"/>
      <c r="KT40" s="1246"/>
      <c r="KU40" s="992"/>
      <c r="KV40" s="1246"/>
      <c r="KW40" s="1246"/>
      <c r="KX40" s="1246"/>
      <c r="KY40" s="1246"/>
      <c r="KZ40" s="992"/>
      <c r="LA40" s="992"/>
      <c r="LB40" s="992"/>
      <c r="LC40" s="992"/>
      <c r="LD40" s="992"/>
      <c r="LE40" s="992"/>
      <c r="LF40" s="992"/>
      <c r="LG40" s="992"/>
      <c r="LH40" s="992"/>
      <c r="LI40" s="992"/>
      <c r="LJ40" s="992"/>
      <c r="LK40" s="992"/>
      <c r="LL40" s="992"/>
      <c r="LM40" s="992"/>
      <c r="LN40" s="992"/>
      <c r="LO40" s="992"/>
      <c r="LP40" s="992"/>
      <c r="LQ40" s="992"/>
      <c r="LR40" s="992"/>
      <c r="LS40" s="992"/>
      <c r="LT40" s="992"/>
      <c r="LU40" s="992"/>
      <c r="LV40" s="992"/>
      <c r="LW40" s="996"/>
      <c r="LX40" s="996"/>
      <c r="LY40" s="996"/>
      <c r="LZ40" s="992"/>
      <c r="MA40" s="996"/>
      <c r="MB40" s="996"/>
      <c r="MC40" s="996"/>
      <c r="MD40" s="996"/>
      <c r="ME40" s="996"/>
      <c r="MF40" s="992"/>
      <c r="MG40" s="992"/>
      <c r="MH40" s="996"/>
      <c r="MI40" s="996"/>
      <c r="MJ40" s="996"/>
      <c r="MK40" s="996"/>
      <c r="ML40" s="996"/>
      <c r="MM40" s="996"/>
      <c r="MN40" s="996"/>
      <c r="MO40" s="996"/>
      <c r="MP40" s="996"/>
      <c r="MQ40" s="996"/>
      <c r="MR40" s="996"/>
      <c r="MS40" s="996"/>
      <c r="MT40" s="996"/>
      <c r="MU40" s="996"/>
      <c r="MV40" s="996"/>
      <c r="MW40" s="996"/>
      <c r="MX40" s="996"/>
      <c r="MY40" s="996"/>
      <c r="MZ40" s="996"/>
      <c r="NA40" s="996"/>
      <c r="NB40" s="1185"/>
      <c r="NC40" s="996"/>
      <c r="ND40" s="996"/>
      <c r="NE40" s="996"/>
      <c r="NF40" s="996"/>
      <c r="NG40" s="996"/>
      <c r="NH40" s="996"/>
      <c r="NI40" s="996"/>
      <c r="NJ40" s="1185"/>
      <c r="NK40" s="996"/>
      <c r="NL40" s="996"/>
      <c r="NM40" s="996"/>
      <c r="NN40" s="996"/>
      <c r="NO40" s="996"/>
      <c r="NP40" s="996"/>
      <c r="NQ40" s="996"/>
      <c r="NR40" s="1185"/>
      <c r="NS40" s="1185"/>
      <c r="NT40" s="1185"/>
      <c r="NU40" s="1185"/>
      <c r="NV40" s="1185"/>
      <c r="NW40" s="1185"/>
      <c r="NX40" s="1185"/>
      <c r="NY40" s="1185"/>
      <c r="NZ40" s="1185"/>
      <c r="OA40" s="1185"/>
      <c r="OB40" s="1185"/>
      <c r="OC40" s="1185"/>
      <c r="OD40" s="1185"/>
      <c r="OE40" s="1185"/>
      <c r="OF40" s="1185"/>
      <c r="OG40" s="1185"/>
      <c r="OH40" s="1185"/>
      <c r="OI40" s="1185"/>
      <c r="OJ40" s="694"/>
      <c r="OK40" s="694"/>
      <c r="OL40" s="694"/>
      <c r="OM40" s="694"/>
      <c r="ON40" s="694"/>
      <c r="OO40" s="694"/>
      <c r="OP40" s="992"/>
      <c r="OQ40" s="992"/>
      <c r="OR40" s="993"/>
      <c r="OS40" s="993"/>
      <c r="OT40" s="993"/>
      <c r="OU40" s="993"/>
      <c r="OV40" s="993"/>
      <c r="OW40" s="993"/>
      <c r="OX40" s="993"/>
      <c r="OY40" s="993"/>
      <c r="OZ40" s="694"/>
      <c r="PA40" s="694"/>
      <c r="PB40" s="694"/>
      <c r="PC40" s="694"/>
      <c r="PD40" s="694"/>
      <c r="PE40" s="694"/>
      <c r="PF40" s="694"/>
      <c r="PG40" s="694"/>
      <c r="PH40" s="992"/>
      <c r="PI40" s="992"/>
      <c r="PJ40" s="992"/>
      <c r="PK40" s="992"/>
      <c r="PL40" s="992"/>
      <c r="PM40" s="992"/>
      <c r="PN40" s="992"/>
      <c r="PO40" s="992"/>
      <c r="PP40" s="992"/>
      <c r="PQ40" s="992"/>
      <c r="PR40" s="992"/>
      <c r="PS40" s="992"/>
      <c r="PT40" s="992"/>
      <c r="PU40" s="992"/>
      <c r="PV40" s="992"/>
      <c r="PW40" s="992"/>
      <c r="PX40" s="992"/>
      <c r="PY40" s="1305"/>
      <c r="PZ40" s="1305"/>
      <c r="QA40" s="1305"/>
      <c r="QB40" s="1305"/>
      <c r="QC40" s="992"/>
      <c r="QD40" s="1305"/>
      <c r="QE40" s="1305"/>
      <c r="QF40" s="1305"/>
      <c r="QG40" s="1305"/>
      <c r="QH40" s="694"/>
      <c r="QI40" s="694"/>
      <c r="QJ40" s="694"/>
      <c r="QK40" s="694"/>
      <c r="QL40" s="694"/>
      <c r="QM40" s="694"/>
      <c r="QN40" s="694"/>
      <c r="QO40" s="694"/>
      <c r="QP40" s="694"/>
      <c r="QQ40" s="694"/>
      <c r="QR40" s="694"/>
      <c r="QS40" s="694"/>
      <c r="QT40" s="694"/>
      <c r="QU40" s="694"/>
      <c r="QV40" s="694"/>
      <c r="QW40" s="694"/>
      <c r="QX40" s="694"/>
      <c r="QY40" s="694"/>
      <c r="QZ40" s="996"/>
      <c r="RA40" s="996"/>
      <c r="RB40" s="996"/>
      <c r="RC40" s="996"/>
      <c r="RD40" s="996"/>
      <c r="RE40" s="996"/>
      <c r="RF40" s="996"/>
      <c r="RG40" s="996"/>
      <c r="RH40" s="996"/>
      <c r="RI40" s="996"/>
      <c r="RJ40" s="996"/>
      <c r="RK40" s="996"/>
      <c r="RL40" s="996"/>
      <c r="RM40" s="996"/>
      <c r="RN40" s="996"/>
      <c r="RO40" s="996"/>
      <c r="RP40" s="996"/>
      <c r="RQ40" s="996"/>
      <c r="RR40" s="996"/>
      <c r="RS40" s="996"/>
      <c r="RT40" s="996"/>
      <c r="RU40" s="996"/>
      <c r="RV40" s="996"/>
      <c r="RW40" s="996"/>
      <c r="RX40" s="996"/>
      <c r="RY40" s="996"/>
      <c r="RZ40" s="996"/>
      <c r="SA40" s="996"/>
      <c r="SB40" s="996"/>
      <c r="SC40" s="996"/>
      <c r="SD40" s="996"/>
      <c r="SE40" s="996"/>
      <c r="SF40" s="996"/>
      <c r="SG40" s="996"/>
      <c r="SH40" s="996"/>
      <c r="SI40" s="996"/>
      <c r="SJ40" s="996"/>
      <c r="SK40" s="996"/>
      <c r="SL40" s="996"/>
      <c r="SM40" s="996"/>
      <c r="SN40" s="996"/>
      <c r="SO40" s="996"/>
      <c r="SP40" s="996"/>
      <c r="SQ40" s="996"/>
      <c r="SR40" s="996"/>
      <c r="SS40" s="996"/>
      <c r="ST40" s="996"/>
      <c r="SU40" s="996"/>
      <c r="SV40" s="996"/>
      <c r="SW40" s="996"/>
      <c r="SX40" s="694"/>
      <c r="SY40" s="993"/>
      <c r="SZ40" s="993"/>
      <c r="TA40" s="993"/>
      <c r="TB40" s="993"/>
      <c r="TC40" s="993"/>
      <c r="TD40" s="993"/>
      <c r="TE40" s="694"/>
      <c r="TF40" s="993"/>
      <c r="TG40" s="993"/>
      <c r="TH40" s="993"/>
      <c r="TI40" s="993"/>
      <c r="TJ40" s="993"/>
      <c r="TK40" s="993"/>
      <c r="TL40" s="694"/>
      <c r="TM40" s="694"/>
      <c r="TN40" s="694"/>
      <c r="TO40" s="694"/>
      <c r="TP40" s="694"/>
      <c r="TQ40" s="694"/>
      <c r="TR40" s="694"/>
      <c r="TS40" s="694"/>
      <c r="TT40" s="694"/>
      <c r="TU40" s="694"/>
      <c r="TV40" s="694"/>
      <c r="TW40" s="694"/>
      <c r="TX40" s="694"/>
      <c r="TY40" s="694"/>
      <c r="TZ40" s="694"/>
      <c r="UA40" s="694"/>
      <c r="UB40" s="694"/>
      <c r="UC40" s="694"/>
      <c r="UD40" s="694"/>
      <c r="UE40" s="694"/>
      <c r="UF40" s="694"/>
      <c r="UG40" s="694"/>
      <c r="UH40" s="694"/>
      <c r="UI40" s="694"/>
      <c r="UJ40" s="694"/>
      <c r="UK40" s="694"/>
      <c r="UL40" s="694"/>
      <c r="UM40" s="694"/>
      <c r="UN40" s="694"/>
      <c r="UO40" s="694"/>
      <c r="UP40" s="694"/>
      <c r="UQ40" s="694"/>
      <c r="UR40" s="694"/>
      <c r="US40" s="694"/>
      <c r="UT40" s="694"/>
      <c r="UU40" s="694"/>
      <c r="UV40" s="694"/>
      <c r="UW40" s="694"/>
      <c r="UX40" s="694"/>
      <c r="UY40" s="694"/>
      <c r="UZ40" s="694"/>
      <c r="VA40" s="694"/>
      <c r="VB40" s="996"/>
      <c r="VC40" s="996"/>
      <c r="VD40" s="694"/>
      <c r="VE40" s="694"/>
      <c r="VF40" s="694"/>
      <c r="VG40" s="694"/>
      <c r="VH40" s="694"/>
      <c r="VI40" s="694"/>
      <c r="VJ40" s="993"/>
      <c r="VK40" s="993"/>
      <c r="VL40" s="993"/>
      <c r="VM40" s="993"/>
      <c r="VN40" s="993"/>
      <c r="VO40" s="694"/>
      <c r="VP40" s="993"/>
      <c r="VQ40" s="993"/>
      <c r="VR40" s="1185"/>
      <c r="VS40" s="1185"/>
      <c r="VT40" s="1185"/>
      <c r="VU40" s="1185"/>
      <c r="VV40" s="993"/>
      <c r="VW40" s="993"/>
      <c r="VX40" s="694"/>
      <c r="VY40" s="993"/>
      <c r="VZ40" s="993"/>
      <c r="WA40" s="993"/>
      <c r="WB40" s="993"/>
      <c r="WC40" s="993"/>
      <c r="WD40" s="993"/>
      <c r="WE40" s="993"/>
      <c r="WF40" s="993"/>
      <c r="WG40" s="993"/>
      <c r="WH40" s="993"/>
      <c r="WI40" s="993"/>
      <c r="WJ40" s="993"/>
      <c r="WK40" s="993"/>
      <c r="WL40" s="694"/>
      <c r="WM40" s="694"/>
      <c r="WN40" s="694"/>
      <c r="WO40" s="694"/>
      <c r="WP40" s="694"/>
      <c r="WQ40" s="993"/>
      <c r="WR40" s="994"/>
      <c r="WS40" s="994"/>
      <c r="WT40" s="994"/>
      <c r="WU40" s="994"/>
      <c r="WV40" s="994"/>
      <c r="WW40" s="994"/>
      <c r="WX40" s="994"/>
      <c r="WY40" s="994"/>
      <c r="WZ40" s="994"/>
      <c r="XA40" s="994"/>
      <c r="XB40" s="994"/>
      <c r="XC40" s="994"/>
      <c r="XD40" s="994"/>
      <c r="XE40" s="994"/>
      <c r="XF40" s="694"/>
      <c r="XG40" s="694"/>
      <c r="XH40" s="694"/>
      <c r="XI40" s="694"/>
      <c r="XJ40" s="694"/>
      <c r="XK40" s="993"/>
      <c r="XL40" s="993"/>
      <c r="XM40" s="993"/>
      <c r="XN40" s="993"/>
      <c r="XO40" s="993"/>
      <c r="XP40" s="993"/>
      <c r="XQ40" s="993"/>
      <c r="XR40" s="993"/>
      <c r="XS40" s="993"/>
      <c r="XT40" s="993"/>
      <c r="XU40" s="993"/>
      <c r="XV40" s="993"/>
      <c r="XW40" s="993"/>
      <c r="XX40" s="1185"/>
      <c r="XY40" s="1185"/>
      <c r="XZ40" s="1185"/>
      <c r="YA40" s="996"/>
      <c r="YB40" s="1185"/>
      <c r="YC40" s="1185"/>
      <c r="YD40" s="995"/>
      <c r="YE40" s="996"/>
      <c r="YF40" s="1185"/>
      <c r="YG40" s="1185"/>
      <c r="YH40" s="1305"/>
      <c r="YI40" s="1185"/>
      <c r="YJ40" s="1185"/>
      <c r="YK40" s="1185"/>
      <c r="YL40" s="996"/>
      <c r="YM40" s="1185"/>
      <c r="YN40" s="1185"/>
      <c r="YO40" s="995"/>
      <c r="YP40" s="996"/>
      <c r="YQ40" s="1185"/>
      <c r="YR40" s="1185"/>
      <c r="YS40" s="1305"/>
      <c r="YT40" s="694"/>
      <c r="YU40" s="694"/>
      <c r="YV40" s="694"/>
      <c r="YW40" s="694"/>
      <c r="YX40" s="694"/>
      <c r="YY40" s="694"/>
      <c r="YZ40" s="694"/>
      <c r="ZA40" s="694"/>
      <c r="ZB40" s="694"/>
      <c r="ZC40" s="694"/>
      <c r="ZD40" s="694"/>
      <c r="ZE40" s="694"/>
      <c r="ZF40" s="694"/>
      <c r="ZG40" s="694"/>
      <c r="ZH40" s="694"/>
      <c r="ZI40" s="694"/>
      <c r="ZJ40" s="694"/>
      <c r="ZK40" s="694"/>
      <c r="ZL40" s="694"/>
      <c r="ZM40" s="694"/>
      <c r="ZN40" s="694"/>
      <c r="ZO40" s="694"/>
      <c r="ZP40" s="694"/>
      <c r="ZQ40" s="694"/>
      <c r="ZR40" s="694"/>
      <c r="ZS40" s="694"/>
      <c r="ZT40" s="694"/>
      <c r="ZU40" s="694"/>
      <c r="ZV40" s="694"/>
      <c r="ZW40" s="694"/>
      <c r="ZX40" s="694"/>
      <c r="ZY40" s="694"/>
      <c r="ZZ40" s="694"/>
      <c r="AAA40" s="694"/>
      <c r="AAB40" s="694"/>
      <c r="AAC40" s="694"/>
      <c r="AAD40" s="694"/>
      <c r="AAE40" s="993"/>
      <c r="AAF40" s="993"/>
      <c r="AAG40" s="993"/>
      <c r="AAH40" s="993"/>
      <c r="AAI40" s="993"/>
      <c r="AAJ40" s="993"/>
      <c r="AAK40" s="993"/>
      <c r="AAL40" s="993"/>
      <c r="AAM40" s="993"/>
      <c r="AAN40" s="993"/>
      <c r="AAO40" s="993"/>
      <c r="AAP40" s="993"/>
      <c r="AAQ40" s="993"/>
      <c r="AAR40" s="993"/>
      <c r="AAS40" s="993"/>
      <c r="AAT40" s="694"/>
      <c r="AAU40" s="694"/>
      <c r="AAV40" s="993"/>
      <c r="AAW40" s="694"/>
    </row>
    <row r="41" spans="1:725" ht="24" customHeight="1" x14ac:dyDescent="0.25">
      <c r="A41" s="997" t="s">
        <v>762</v>
      </c>
      <c r="B41" s="1306">
        <f t="shared" ref="B41:BR41" si="517">B31-B42</f>
        <v>18395841374.120003</v>
      </c>
      <c r="C41" s="1306">
        <f t="shared" si="517"/>
        <v>7325755024.2199993</v>
      </c>
      <c r="D41" s="1306">
        <f t="shared" si="517"/>
        <v>2834338435.5400009</v>
      </c>
      <c r="E41" s="1306">
        <f t="shared" si="517"/>
        <v>1261100618.4200001</v>
      </c>
      <c r="F41" s="1306">
        <f t="shared" si="517"/>
        <v>803779213</v>
      </c>
      <c r="G41" s="1306">
        <f t="shared" si="517"/>
        <v>418034790</v>
      </c>
      <c r="H41" s="1306">
        <f t="shared" si="517"/>
        <v>593090602.53999996</v>
      </c>
      <c r="I41" s="1306">
        <f t="shared" si="517"/>
        <v>304169347.85000002</v>
      </c>
      <c r="J41" s="1306">
        <f t="shared" si="517"/>
        <v>442904535.07999998</v>
      </c>
      <c r="K41" s="1306">
        <f t="shared" si="517"/>
        <v>228915137.84999999</v>
      </c>
      <c r="L41" s="1306">
        <f t="shared" si="517"/>
        <v>150186067.45999998</v>
      </c>
      <c r="M41" s="1306">
        <f t="shared" si="517"/>
        <v>75254210</v>
      </c>
      <c r="N41" s="1306">
        <f t="shared" si="517"/>
        <v>265037000</v>
      </c>
      <c r="O41" s="1306">
        <f t="shared" si="517"/>
        <v>48397247</v>
      </c>
      <c r="P41" s="1306">
        <f t="shared" si="517"/>
        <v>1149431620</v>
      </c>
      <c r="Q41" s="1306">
        <f t="shared" si="517"/>
        <v>478999233.56999999</v>
      </c>
      <c r="R41" s="1306">
        <f t="shared" si="517"/>
        <v>601255632</v>
      </c>
      <c r="S41" s="1306">
        <f t="shared" si="517"/>
        <v>274338805.56999999</v>
      </c>
      <c r="T41" s="1306">
        <f t="shared" si="517"/>
        <v>548175988</v>
      </c>
      <c r="U41" s="1306">
        <f t="shared" si="517"/>
        <v>204660428</v>
      </c>
      <c r="V41" s="1306">
        <f t="shared" si="517"/>
        <v>11500000</v>
      </c>
      <c r="W41" s="1306">
        <f t="shared" ref="W41:Y41" si="518">W31-W42</f>
        <v>5400000</v>
      </c>
      <c r="X41" s="1306">
        <f t="shared" si="518"/>
        <v>6100000</v>
      </c>
      <c r="Y41" s="1306">
        <f t="shared" si="518"/>
        <v>0</v>
      </c>
      <c r="Z41" s="1306">
        <f t="shared" si="517"/>
        <v>11500000</v>
      </c>
      <c r="AA41" s="1306">
        <f t="shared" si="517"/>
        <v>5400000</v>
      </c>
      <c r="AB41" s="1306">
        <f t="shared" si="517"/>
        <v>6100000</v>
      </c>
      <c r="AC41" s="1306">
        <f t="shared" si="517"/>
        <v>0</v>
      </c>
      <c r="AD41" s="1306">
        <f t="shared" si="517"/>
        <v>11500000</v>
      </c>
      <c r="AE41" s="1306">
        <f t="shared" ref="AE41:AF41" si="519">AE31-AE42</f>
        <v>8500000</v>
      </c>
      <c r="AF41" s="1306">
        <f t="shared" si="519"/>
        <v>3000000</v>
      </c>
      <c r="AG41" s="1306">
        <f t="shared" si="517"/>
        <v>0</v>
      </c>
      <c r="AH41" s="1306">
        <f t="shared" si="517"/>
        <v>0</v>
      </c>
      <c r="AI41" s="1306">
        <f t="shared" si="517"/>
        <v>0</v>
      </c>
      <c r="AJ41" s="1306">
        <f t="shared" si="517"/>
        <v>8500000</v>
      </c>
      <c r="AK41" s="1306">
        <f t="shared" si="517"/>
        <v>0</v>
      </c>
      <c r="AL41" s="1306">
        <f t="shared" si="517"/>
        <v>3000000</v>
      </c>
      <c r="AM41" s="1306">
        <f t="shared" si="517"/>
        <v>0</v>
      </c>
      <c r="AN41" s="1306">
        <f t="shared" si="517"/>
        <v>7158482430.5400009</v>
      </c>
      <c r="AO41" s="1306">
        <f t="shared" si="517"/>
        <v>1397256662.5599999</v>
      </c>
      <c r="AP41" s="1306">
        <f t="shared" si="517"/>
        <v>759727268.83000016</v>
      </c>
      <c r="AQ41" s="1306">
        <f t="shared" si="517"/>
        <v>722077068.83000016</v>
      </c>
      <c r="AR41" s="1306">
        <f t="shared" si="517"/>
        <v>37650200</v>
      </c>
      <c r="AS41" s="1306">
        <f t="shared" si="517"/>
        <v>134981288.18999997</v>
      </c>
      <c r="AT41" s="1306">
        <f t="shared" si="517"/>
        <v>134981288.18999997</v>
      </c>
      <c r="AU41" s="1306">
        <f t="shared" si="517"/>
        <v>0</v>
      </c>
      <c r="AV41" s="1306">
        <f t="shared" si="517"/>
        <v>91624576.299999997</v>
      </c>
      <c r="AW41" s="1306">
        <f t="shared" si="517"/>
        <v>91624576.299999997</v>
      </c>
      <c r="AX41" s="1306">
        <f t="shared" si="517"/>
        <v>0</v>
      </c>
      <c r="AY41" s="1306">
        <f t="shared" si="517"/>
        <v>0</v>
      </c>
      <c r="AZ41" s="1306">
        <f t="shared" si="517"/>
        <v>91624576.299999997</v>
      </c>
      <c r="BA41" s="1306">
        <f t="shared" si="517"/>
        <v>91624576.299999997</v>
      </c>
      <c r="BB41" s="1306">
        <f t="shared" si="517"/>
        <v>0</v>
      </c>
      <c r="BC41" s="1306">
        <f t="shared" si="517"/>
        <v>0</v>
      </c>
      <c r="BD41" s="1306">
        <f t="shared" si="517"/>
        <v>0</v>
      </c>
      <c r="BE41" s="1306">
        <f t="shared" si="517"/>
        <v>0</v>
      </c>
      <c r="BF41" s="1306">
        <f t="shared" si="517"/>
        <v>0</v>
      </c>
      <c r="BG41" s="1306">
        <f t="shared" si="517"/>
        <v>0</v>
      </c>
      <c r="BH41" s="1306">
        <f t="shared" si="517"/>
        <v>202747551.59999999</v>
      </c>
      <c r="BI41" s="1306">
        <f t="shared" si="517"/>
        <v>202747551.59999999</v>
      </c>
      <c r="BJ41" s="1306">
        <f t="shared" si="517"/>
        <v>6984132.5199999996</v>
      </c>
      <c r="BK41" s="1306">
        <f t="shared" si="517"/>
        <v>6984132.5199999996</v>
      </c>
      <c r="BL41" s="1306">
        <f t="shared" si="517"/>
        <v>212375065.56999999</v>
      </c>
      <c r="BM41" s="1306">
        <f t="shared" si="517"/>
        <v>212375065.56999999</v>
      </c>
      <c r="BN41" s="1306">
        <f t="shared" si="517"/>
        <v>59325881.299999997</v>
      </c>
      <c r="BO41" s="1306">
        <f t="shared" si="517"/>
        <v>59325881.299999997</v>
      </c>
      <c r="BP41" s="1306">
        <f t="shared" si="517"/>
        <v>0</v>
      </c>
      <c r="BQ41" s="1306">
        <f t="shared" si="517"/>
        <v>0</v>
      </c>
      <c r="BR41" s="1306">
        <f t="shared" si="517"/>
        <v>212375065.56999999</v>
      </c>
      <c r="BS41" s="1306">
        <f t="shared" ref="BS41:EH41" si="520">BS31-BS42</f>
        <v>59325881.299999997</v>
      </c>
      <c r="BT41" s="1306">
        <f t="shared" si="520"/>
        <v>0</v>
      </c>
      <c r="BU41" s="1306">
        <f t="shared" si="520"/>
        <v>0</v>
      </c>
      <c r="BV41" s="1306">
        <f t="shared" si="520"/>
        <v>0</v>
      </c>
      <c r="BW41" s="1306">
        <f t="shared" si="520"/>
        <v>0</v>
      </c>
      <c r="BX41" s="1306">
        <f t="shared" si="520"/>
        <v>0</v>
      </c>
      <c r="BY41" s="1306">
        <f t="shared" si="520"/>
        <v>0</v>
      </c>
      <c r="BZ41" s="1306">
        <f t="shared" si="520"/>
        <v>0</v>
      </c>
      <c r="CA41" s="1306">
        <f t="shared" si="520"/>
        <v>0</v>
      </c>
      <c r="CB41" s="1306">
        <f t="shared" si="520"/>
        <v>972600068.82999992</v>
      </c>
      <c r="CC41" s="1306">
        <f t="shared" ref="CC41:CG41" si="521">CC31-CC42</f>
        <v>722077068.83000016</v>
      </c>
      <c r="CD41" s="1306">
        <f t="shared" si="521"/>
        <v>250523000</v>
      </c>
      <c r="CE41" s="1306">
        <f t="shared" si="521"/>
        <v>3599000</v>
      </c>
      <c r="CF41" s="1306">
        <f t="shared" si="521"/>
        <v>0</v>
      </c>
      <c r="CG41" s="1306">
        <f t="shared" si="521"/>
        <v>3599000</v>
      </c>
      <c r="CH41" s="1306">
        <f t="shared" si="520"/>
        <v>0</v>
      </c>
      <c r="CI41" s="1306">
        <f t="shared" si="520"/>
        <v>0</v>
      </c>
      <c r="CJ41" s="1306">
        <f t="shared" si="520"/>
        <v>0</v>
      </c>
      <c r="CK41" s="1306">
        <f t="shared" si="520"/>
        <v>0</v>
      </c>
      <c r="CL41" s="1306">
        <f t="shared" si="520"/>
        <v>0</v>
      </c>
      <c r="CM41" s="1306">
        <f t="shared" si="520"/>
        <v>0</v>
      </c>
      <c r="CN41" s="1306">
        <f t="shared" si="520"/>
        <v>0</v>
      </c>
      <c r="CO41" s="1306">
        <f t="shared" si="520"/>
        <v>0</v>
      </c>
      <c r="CP41" s="1306">
        <f t="shared" si="520"/>
        <v>383927358.26999986</v>
      </c>
      <c r="CQ41" s="1306">
        <f t="shared" si="520"/>
        <v>225412961.30000001</v>
      </c>
      <c r="CR41" s="1306">
        <f t="shared" si="520"/>
        <v>158514396.97000003</v>
      </c>
      <c r="CS41" s="1306">
        <f t="shared" si="520"/>
        <v>1698440.66</v>
      </c>
      <c r="CT41" s="1306">
        <f t="shared" si="520"/>
        <v>0</v>
      </c>
      <c r="CU41" s="1306">
        <f t="shared" si="520"/>
        <v>1698440.66</v>
      </c>
      <c r="CV41" s="1306">
        <f t="shared" si="520"/>
        <v>290986493.68000001</v>
      </c>
      <c r="CW41" s="1306">
        <f t="shared" si="520"/>
        <v>742629.11</v>
      </c>
      <c r="CX41" s="1306">
        <f t="shared" si="520"/>
        <v>243864.57</v>
      </c>
      <c r="CY41" s="1306">
        <f t="shared" si="520"/>
        <v>14500000</v>
      </c>
      <c r="CZ41" s="1306">
        <f t="shared" si="520"/>
        <v>275500000</v>
      </c>
      <c r="DA41" s="1306">
        <f t="shared" si="520"/>
        <v>0</v>
      </c>
      <c r="DB41" s="1306">
        <f t="shared" si="520"/>
        <v>0</v>
      </c>
      <c r="DC41" s="1306">
        <f t="shared" si="520"/>
        <v>87232661.799999997</v>
      </c>
      <c r="DD41" s="1306">
        <f t="shared" si="520"/>
        <v>0</v>
      </c>
      <c r="DE41" s="1306">
        <f t="shared" si="520"/>
        <v>0</v>
      </c>
      <c r="DF41" s="1306">
        <f t="shared" si="520"/>
        <v>4361633.09</v>
      </c>
      <c r="DG41" s="1306">
        <f t="shared" si="520"/>
        <v>82871028.709999993</v>
      </c>
      <c r="DH41" s="1306">
        <f t="shared" si="520"/>
        <v>0</v>
      </c>
      <c r="DI41" s="1306">
        <f t="shared" si="520"/>
        <v>0</v>
      </c>
      <c r="DJ41" s="1306">
        <f t="shared" si="520"/>
        <v>19567142.100000001</v>
      </c>
      <c r="DK41" s="1306">
        <f t="shared" si="520"/>
        <v>3729042.1000000015</v>
      </c>
      <c r="DL41" s="1306">
        <f t="shared" si="520"/>
        <v>15838100</v>
      </c>
      <c r="DM41" s="1306">
        <f t="shared" si="520"/>
        <v>0</v>
      </c>
      <c r="DN41" s="1306">
        <f t="shared" si="520"/>
        <v>0</v>
      </c>
      <c r="DO41" s="1306">
        <f t="shared" si="520"/>
        <v>0</v>
      </c>
      <c r="DP41" s="1306">
        <f t="shared" si="520"/>
        <v>0</v>
      </c>
      <c r="DQ41" s="1306">
        <f t="shared" si="520"/>
        <v>0</v>
      </c>
      <c r="DR41" s="1306">
        <f t="shared" si="520"/>
        <v>19567142.100000001</v>
      </c>
      <c r="DS41" s="1306">
        <f t="shared" si="520"/>
        <v>0</v>
      </c>
      <c r="DT41" s="1306">
        <f t="shared" si="520"/>
        <v>12500000</v>
      </c>
      <c r="DU41" s="1306">
        <f t="shared" si="520"/>
        <v>7200000</v>
      </c>
      <c r="DV41" s="1306">
        <f t="shared" si="520"/>
        <v>5300000</v>
      </c>
      <c r="DW41" s="1306">
        <f t="shared" si="520"/>
        <v>0</v>
      </c>
      <c r="DX41" s="1306">
        <f t="shared" si="520"/>
        <v>6608000</v>
      </c>
      <c r="DY41" s="1306">
        <f t="shared" si="520"/>
        <v>3760000</v>
      </c>
      <c r="DZ41" s="1306">
        <f t="shared" si="520"/>
        <v>2848000</v>
      </c>
      <c r="EA41" s="1306">
        <f t="shared" si="520"/>
        <v>0</v>
      </c>
      <c r="EB41" s="1306">
        <f t="shared" si="520"/>
        <v>6297684.2199999997</v>
      </c>
      <c r="EC41" s="1306">
        <f t="shared" si="520"/>
        <v>314884.21999999974</v>
      </c>
      <c r="ED41" s="1306">
        <f t="shared" si="520"/>
        <v>5982800</v>
      </c>
      <c r="EE41" s="1306">
        <f t="shared" si="520"/>
        <v>0</v>
      </c>
      <c r="EF41" s="1306">
        <f t="shared" si="520"/>
        <v>0</v>
      </c>
      <c r="EG41" s="1306">
        <f t="shared" si="520"/>
        <v>0</v>
      </c>
      <c r="EH41" s="1306">
        <f t="shared" si="520"/>
        <v>0</v>
      </c>
      <c r="EI41" s="1306">
        <f t="shared" ref="EI41:EY41" si="522">EI31-EI42</f>
        <v>0</v>
      </c>
      <c r="EJ41" s="1306">
        <f t="shared" si="522"/>
        <v>0</v>
      </c>
      <c r="EK41" s="1306">
        <f t="shared" si="522"/>
        <v>0</v>
      </c>
      <c r="EL41" s="1306">
        <f t="shared" si="522"/>
        <v>0</v>
      </c>
      <c r="EM41" s="1306">
        <f t="shared" si="522"/>
        <v>0</v>
      </c>
      <c r="EN41" s="1306">
        <f t="shared" si="522"/>
        <v>0</v>
      </c>
      <c r="EO41" s="1306">
        <f t="shared" si="522"/>
        <v>0</v>
      </c>
      <c r="EP41" s="1306">
        <f t="shared" si="522"/>
        <v>0</v>
      </c>
      <c r="EQ41" s="1306">
        <f t="shared" si="522"/>
        <v>0</v>
      </c>
      <c r="ER41" s="1306">
        <f t="shared" si="522"/>
        <v>0</v>
      </c>
      <c r="ES41" s="1306">
        <f t="shared" si="522"/>
        <v>0</v>
      </c>
      <c r="ET41" s="1306">
        <f t="shared" si="522"/>
        <v>0</v>
      </c>
      <c r="EU41" s="1306">
        <f t="shared" si="522"/>
        <v>0</v>
      </c>
      <c r="EV41" s="1306">
        <f t="shared" si="522"/>
        <v>82494836.710000008</v>
      </c>
      <c r="EW41" s="1306">
        <f t="shared" si="522"/>
        <v>0</v>
      </c>
      <c r="EX41" s="1306">
        <f t="shared" si="522"/>
        <v>82494836.710000008</v>
      </c>
      <c r="EY41" s="1306">
        <f t="shared" si="522"/>
        <v>0</v>
      </c>
      <c r="EZ41" s="1306">
        <f t="shared" ref="EZ41:FA41" si="523">EZ31-EZ42</f>
        <v>0</v>
      </c>
      <c r="FA41" s="1306">
        <f t="shared" si="523"/>
        <v>0</v>
      </c>
      <c r="FB41" s="1306">
        <f t="shared" ref="FB41:GX41" si="524">FB31-FB42</f>
        <v>0</v>
      </c>
      <c r="FC41" s="1306">
        <f t="shared" si="524"/>
        <v>0</v>
      </c>
      <c r="FD41" s="1306">
        <f t="shared" si="524"/>
        <v>0</v>
      </c>
      <c r="FE41" s="1306">
        <f t="shared" si="524"/>
        <v>0</v>
      </c>
      <c r="FF41" s="1306">
        <f t="shared" si="524"/>
        <v>0</v>
      </c>
      <c r="FG41" s="1306">
        <f t="shared" si="524"/>
        <v>0</v>
      </c>
      <c r="FH41" s="1306">
        <f t="shared" si="524"/>
        <v>3880682.69</v>
      </c>
      <c r="FI41" s="1306">
        <f t="shared" si="524"/>
        <v>1012908.5099999999</v>
      </c>
      <c r="FJ41" s="1306">
        <f t="shared" si="524"/>
        <v>2867774.1799999997</v>
      </c>
      <c r="FK41" s="1306">
        <f t="shared" si="524"/>
        <v>842629.03</v>
      </c>
      <c r="FL41" s="1306">
        <f t="shared" si="524"/>
        <v>219937.09999999998</v>
      </c>
      <c r="FM41" s="1306">
        <f t="shared" si="524"/>
        <v>622691.93000000005</v>
      </c>
      <c r="FN41" s="1306">
        <f t="shared" si="524"/>
        <v>3880682.69</v>
      </c>
      <c r="FO41" s="1306">
        <f t="shared" si="524"/>
        <v>1012908.5099999999</v>
      </c>
      <c r="FP41" s="1306">
        <f t="shared" si="524"/>
        <v>2867774.1799999997</v>
      </c>
      <c r="FQ41" s="1306">
        <f t="shared" si="524"/>
        <v>842629.03</v>
      </c>
      <c r="FR41" s="1306">
        <f t="shared" si="524"/>
        <v>219937.09999999998</v>
      </c>
      <c r="FS41" s="1306">
        <f t="shared" si="524"/>
        <v>622691.93000000005</v>
      </c>
      <c r="FT41" s="1306">
        <f t="shared" si="524"/>
        <v>0</v>
      </c>
      <c r="FU41" s="1306">
        <f t="shared" si="524"/>
        <v>0</v>
      </c>
      <c r="FV41" s="1306">
        <f t="shared" si="524"/>
        <v>0</v>
      </c>
      <c r="FW41" s="1306">
        <f t="shared" si="524"/>
        <v>0</v>
      </c>
      <c r="FX41" s="1306">
        <f t="shared" si="524"/>
        <v>0</v>
      </c>
      <c r="FY41" s="1306">
        <f t="shared" si="524"/>
        <v>0</v>
      </c>
      <c r="FZ41" s="1306">
        <f t="shared" si="524"/>
        <v>0</v>
      </c>
      <c r="GA41" s="1306">
        <f t="shared" si="524"/>
        <v>0</v>
      </c>
      <c r="GB41" s="1306">
        <f t="shared" si="524"/>
        <v>0</v>
      </c>
      <c r="GC41" s="1306">
        <f t="shared" si="524"/>
        <v>0</v>
      </c>
      <c r="GD41" s="1306">
        <f t="shared" si="524"/>
        <v>0</v>
      </c>
      <c r="GE41" s="1306">
        <f t="shared" si="524"/>
        <v>0</v>
      </c>
      <c r="GF41" s="1306">
        <f t="shared" si="524"/>
        <v>24122010.529999971</v>
      </c>
      <c r="GG41" s="1306">
        <f t="shared" si="524"/>
        <v>24122010.529999979</v>
      </c>
      <c r="GH41" s="1306">
        <f t="shared" si="524"/>
        <v>0</v>
      </c>
      <c r="GI41" s="1306">
        <f t="shared" si="524"/>
        <v>0</v>
      </c>
      <c r="GJ41" s="1306">
        <f t="shared" si="524"/>
        <v>0</v>
      </c>
      <c r="GK41" s="1306">
        <f t="shared" si="524"/>
        <v>0</v>
      </c>
      <c r="GL41" s="1306">
        <f t="shared" ref="GL41:GU41" si="525">GL31-GL42</f>
        <v>87446506</v>
      </c>
      <c r="GM41" s="1306">
        <f t="shared" si="525"/>
        <v>10402506</v>
      </c>
      <c r="GN41" s="1306">
        <f t="shared" si="525"/>
        <v>77044000</v>
      </c>
      <c r="GO41" s="1306">
        <f t="shared" si="525"/>
        <v>0</v>
      </c>
      <c r="GP41" s="1306">
        <f t="shared" si="525"/>
        <v>0</v>
      </c>
      <c r="GQ41" s="1306">
        <f t="shared" si="525"/>
        <v>0</v>
      </c>
      <c r="GR41" s="1306">
        <f t="shared" si="525"/>
        <v>0</v>
      </c>
      <c r="GS41" s="1306">
        <f t="shared" si="525"/>
        <v>0</v>
      </c>
      <c r="GT41" s="1306">
        <f t="shared" si="525"/>
        <v>87446506</v>
      </c>
      <c r="GU41" s="1306">
        <f t="shared" si="525"/>
        <v>0</v>
      </c>
      <c r="GV41" s="1306">
        <f t="shared" si="524"/>
        <v>222668000</v>
      </c>
      <c r="GW41" s="1306">
        <f t="shared" si="524"/>
        <v>0</v>
      </c>
      <c r="GX41" s="1306">
        <f t="shared" si="524"/>
        <v>75265211.599999994</v>
      </c>
      <c r="GY41" s="1306">
        <f>GY31-GY42</f>
        <v>147402788.39999998</v>
      </c>
      <c r="GZ41" s="1306">
        <f t="shared" ref="GZ41:HB41" si="526">GZ31-GZ42</f>
        <v>0</v>
      </c>
      <c r="HA41" s="1306">
        <f t="shared" si="526"/>
        <v>0</v>
      </c>
      <c r="HB41" s="1306">
        <f t="shared" si="526"/>
        <v>0</v>
      </c>
      <c r="HC41" s="1306">
        <f>HC31-HC42</f>
        <v>0</v>
      </c>
      <c r="HD41" s="1306">
        <f t="shared" ref="HD41:JY41" si="527">HD31-HD42</f>
        <v>123288200</v>
      </c>
      <c r="HE41" s="1306">
        <f t="shared" si="527"/>
        <v>123288200</v>
      </c>
      <c r="HF41" s="1306">
        <f t="shared" si="527"/>
        <v>83537191.079999998</v>
      </c>
      <c r="HG41" s="1306">
        <f t="shared" si="527"/>
        <v>83537191.079999998</v>
      </c>
      <c r="HH41" s="1306">
        <f t="shared" si="527"/>
        <v>0</v>
      </c>
      <c r="HI41" s="1306">
        <f t="shared" si="527"/>
        <v>0</v>
      </c>
      <c r="HJ41" s="1306">
        <f t="shared" si="527"/>
        <v>123288200</v>
      </c>
      <c r="HK41" s="1306">
        <f t="shared" si="527"/>
        <v>83537191.079999998</v>
      </c>
      <c r="HL41" s="1306">
        <f t="shared" si="527"/>
        <v>51625558.140000008</v>
      </c>
      <c r="HM41" s="1306">
        <f t="shared" si="527"/>
        <v>51625558.140000008</v>
      </c>
      <c r="HN41" s="1306">
        <f t="shared" si="527"/>
        <v>0</v>
      </c>
      <c r="HO41" s="1306">
        <f t="shared" si="527"/>
        <v>0</v>
      </c>
      <c r="HP41" s="1306">
        <f t="shared" si="527"/>
        <v>0</v>
      </c>
      <c r="HQ41" s="1306">
        <f t="shared" si="527"/>
        <v>0</v>
      </c>
      <c r="HR41" s="1306">
        <f t="shared" si="527"/>
        <v>0</v>
      </c>
      <c r="HS41" s="1306">
        <f t="shared" si="527"/>
        <v>0</v>
      </c>
      <c r="HT41" s="1306">
        <f t="shared" si="527"/>
        <v>0</v>
      </c>
      <c r="HU41" s="1306">
        <f t="shared" si="527"/>
        <v>0</v>
      </c>
      <c r="HV41" s="1306">
        <f t="shared" si="527"/>
        <v>0</v>
      </c>
      <c r="HW41" s="1306">
        <f t="shared" si="527"/>
        <v>0</v>
      </c>
      <c r="HX41" s="1306">
        <f t="shared" si="527"/>
        <v>169455019.44999999</v>
      </c>
      <c r="HY41" s="1306">
        <f t="shared" si="527"/>
        <v>1661708.0899999999</v>
      </c>
      <c r="HZ41" s="1306">
        <f t="shared" si="527"/>
        <v>167793311.36000001</v>
      </c>
      <c r="IA41" s="1306">
        <f t="shared" si="527"/>
        <v>145678877.52999997</v>
      </c>
      <c r="IB41" s="1306">
        <f t="shared" si="527"/>
        <v>1456788.79</v>
      </c>
      <c r="IC41" s="1306">
        <f t="shared" si="527"/>
        <v>144222088.74000001</v>
      </c>
      <c r="ID41" s="1306">
        <f t="shared" si="527"/>
        <v>0</v>
      </c>
      <c r="IE41" s="1306">
        <f t="shared" si="527"/>
        <v>-3284211.3599999994</v>
      </c>
      <c r="IF41" s="1306">
        <f t="shared" si="527"/>
        <v>3284211.3599999994</v>
      </c>
      <c r="IG41" s="1306">
        <f t="shared" si="527"/>
        <v>0</v>
      </c>
      <c r="IH41" s="1306">
        <f t="shared" si="527"/>
        <v>0</v>
      </c>
      <c r="II41" s="1306">
        <f t="shared" si="527"/>
        <v>0</v>
      </c>
      <c r="IJ41" s="1306">
        <f t="shared" si="527"/>
        <v>169455019.44999999</v>
      </c>
      <c r="IK41" s="1306">
        <f t="shared" si="527"/>
        <v>4945919.4499999993</v>
      </c>
      <c r="IL41" s="1306">
        <f t="shared" si="527"/>
        <v>164509100</v>
      </c>
      <c r="IM41" s="1306">
        <f t="shared" si="527"/>
        <v>145678877.52999997</v>
      </c>
      <c r="IN41" s="1306">
        <f t="shared" si="527"/>
        <v>1456788.79</v>
      </c>
      <c r="IO41" s="1306">
        <f t="shared" si="527"/>
        <v>144222088.74000001</v>
      </c>
      <c r="IP41" s="1306">
        <f t="shared" si="527"/>
        <v>0</v>
      </c>
      <c r="IQ41" s="1306">
        <f t="shared" si="527"/>
        <v>0</v>
      </c>
      <c r="IR41" s="1306">
        <f t="shared" si="527"/>
        <v>0</v>
      </c>
      <c r="IS41" s="1306">
        <f t="shared" si="527"/>
        <v>0</v>
      </c>
      <c r="IT41" s="1306">
        <f t="shared" si="527"/>
        <v>0</v>
      </c>
      <c r="IU41" s="1306">
        <f t="shared" si="527"/>
        <v>0</v>
      </c>
      <c r="IV41" s="1306">
        <f t="shared" ref="IV41:JA41" si="528">IV31-IV42</f>
        <v>2631578.9500000002</v>
      </c>
      <c r="IW41" s="1306">
        <f t="shared" si="528"/>
        <v>131578.95000000001</v>
      </c>
      <c r="IX41" s="1306">
        <f t="shared" si="528"/>
        <v>2500000</v>
      </c>
      <c r="IY41" s="1306">
        <f t="shared" si="528"/>
        <v>0</v>
      </c>
      <c r="IZ41" s="1306">
        <f t="shared" si="528"/>
        <v>0</v>
      </c>
      <c r="JA41" s="1306">
        <f t="shared" si="528"/>
        <v>0</v>
      </c>
      <c r="JB41" s="1306">
        <f t="shared" ref="JB41:JE41" si="529">JB31-JB42</f>
        <v>0</v>
      </c>
      <c r="JC41" s="1306">
        <f t="shared" si="529"/>
        <v>0</v>
      </c>
      <c r="JD41" s="1306">
        <f t="shared" si="529"/>
        <v>2631578.9500000002</v>
      </c>
      <c r="JE41" s="1306">
        <f t="shared" si="529"/>
        <v>0</v>
      </c>
      <c r="JF41" s="1306">
        <f t="shared" si="527"/>
        <v>23000000</v>
      </c>
      <c r="JG41" s="1306">
        <f t="shared" si="527"/>
        <v>1150000</v>
      </c>
      <c r="JH41" s="1306">
        <f t="shared" si="527"/>
        <v>21850000</v>
      </c>
      <c r="JI41" s="1306">
        <f t="shared" si="527"/>
        <v>592914.24</v>
      </c>
      <c r="JJ41" s="1306">
        <f t="shared" si="527"/>
        <v>29645.71</v>
      </c>
      <c r="JK41" s="1306">
        <f t="shared" si="527"/>
        <v>563268.53</v>
      </c>
      <c r="JL41" s="1306">
        <f t="shared" si="527"/>
        <v>0</v>
      </c>
      <c r="JM41" s="1306">
        <f t="shared" si="527"/>
        <v>0</v>
      </c>
      <c r="JN41" s="1306">
        <f t="shared" si="527"/>
        <v>0</v>
      </c>
      <c r="JO41" s="1306">
        <f t="shared" si="527"/>
        <v>0</v>
      </c>
      <c r="JP41" s="1306">
        <f t="shared" si="527"/>
        <v>0</v>
      </c>
      <c r="JQ41" s="1306">
        <f t="shared" si="527"/>
        <v>0</v>
      </c>
      <c r="JR41" s="1306">
        <f t="shared" si="527"/>
        <v>18358.319999999985</v>
      </c>
      <c r="JS41" s="1306">
        <f t="shared" si="527"/>
        <v>0</v>
      </c>
      <c r="JT41" s="1306">
        <f t="shared" si="527"/>
        <v>18358.319999999985</v>
      </c>
      <c r="JU41" s="1306">
        <f t="shared" si="527"/>
        <v>0</v>
      </c>
      <c r="JV41" s="1306">
        <f t="shared" si="527"/>
        <v>0</v>
      </c>
      <c r="JW41" s="1306">
        <f t="shared" si="527"/>
        <v>0</v>
      </c>
      <c r="JX41" s="1306">
        <f t="shared" si="527"/>
        <v>18358.319999999985</v>
      </c>
      <c r="JY41" s="1306">
        <f t="shared" si="527"/>
        <v>0</v>
      </c>
      <c r="JZ41" s="1306">
        <f t="shared" ref="JZ41:MK41" si="530">JZ31-JZ42</f>
        <v>18358.319999999985</v>
      </c>
      <c r="KA41" s="1306">
        <f t="shared" si="530"/>
        <v>0</v>
      </c>
      <c r="KB41" s="1306">
        <f t="shared" si="530"/>
        <v>0</v>
      </c>
      <c r="KC41" s="1306">
        <f t="shared" si="530"/>
        <v>0</v>
      </c>
      <c r="KD41" s="1306">
        <f t="shared" si="530"/>
        <v>-2447719</v>
      </c>
      <c r="KE41" s="1306">
        <f t="shared" si="530"/>
        <v>-641180.10999999987</v>
      </c>
      <c r="KF41" s="1306">
        <f t="shared" si="530"/>
        <v>-1806538.8900000001</v>
      </c>
      <c r="KG41" s="1306">
        <f t="shared" si="530"/>
        <v>0</v>
      </c>
      <c r="KH41" s="1306">
        <f t="shared" si="530"/>
        <v>0</v>
      </c>
      <c r="KI41" s="1306">
        <f t="shared" si="530"/>
        <v>0</v>
      </c>
      <c r="KJ41" s="1306">
        <f t="shared" si="530"/>
        <v>2466077.3200000003</v>
      </c>
      <c r="KK41" s="1306">
        <f t="shared" si="530"/>
        <v>641180.10999999987</v>
      </c>
      <c r="KL41" s="1306">
        <f t="shared" si="530"/>
        <v>1824897.2100000004</v>
      </c>
      <c r="KM41" s="1306">
        <f t="shared" si="530"/>
        <v>0</v>
      </c>
      <c r="KN41" s="1306">
        <f t="shared" si="530"/>
        <v>0</v>
      </c>
      <c r="KO41" s="1306">
        <f t="shared" si="530"/>
        <v>0</v>
      </c>
      <c r="KP41" s="1306">
        <f t="shared" si="530"/>
        <v>26916829.220000006</v>
      </c>
      <c r="KQ41" s="1306">
        <f t="shared" si="530"/>
        <v>16413681.120000001</v>
      </c>
      <c r="KR41" s="1306">
        <f t="shared" si="530"/>
        <v>4217728.0999999996</v>
      </c>
      <c r="KS41" s="1306">
        <f t="shared" si="530"/>
        <v>2285049.88</v>
      </c>
      <c r="KT41" s="1306">
        <f t="shared" si="530"/>
        <v>4000370.1199999996</v>
      </c>
      <c r="KU41" s="1306">
        <f t="shared" si="530"/>
        <v>0</v>
      </c>
      <c r="KV41" s="1306">
        <f t="shared" si="530"/>
        <v>0</v>
      </c>
      <c r="KW41" s="1306">
        <f t="shared" si="530"/>
        <v>0</v>
      </c>
      <c r="KX41" s="1306">
        <f t="shared" si="530"/>
        <v>0</v>
      </c>
      <c r="KY41" s="1306">
        <f t="shared" si="530"/>
        <v>0</v>
      </c>
      <c r="KZ41" s="1306">
        <f t="shared" si="530"/>
        <v>2264810</v>
      </c>
      <c r="LA41" s="1306">
        <f t="shared" si="530"/>
        <v>2264810</v>
      </c>
      <c r="LB41" s="1306">
        <f t="shared" si="530"/>
        <v>0</v>
      </c>
      <c r="LC41" s="1306">
        <f t="shared" si="530"/>
        <v>0</v>
      </c>
      <c r="LD41" s="1306">
        <f t="shared" si="530"/>
        <v>0</v>
      </c>
      <c r="LE41" s="1306">
        <f t="shared" si="530"/>
        <v>0</v>
      </c>
      <c r="LF41" s="1306">
        <f t="shared" si="530"/>
        <v>0</v>
      </c>
      <c r="LG41" s="1306">
        <f t="shared" si="530"/>
        <v>0</v>
      </c>
      <c r="LH41" s="1306">
        <f t="shared" si="530"/>
        <v>0</v>
      </c>
      <c r="LI41" s="1306">
        <f t="shared" si="530"/>
        <v>0</v>
      </c>
      <c r="LJ41" s="1306">
        <f t="shared" si="530"/>
        <v>-1755800</v>
      </c>
      <c r="LK41" s="1306">
        <f t="shared" si="530"/>
        <v>-1755800</v>
      </c>
      <c r="LL41" s="1306">
        <f t="shared" si="530"/>
        <v>0</v>
      </c>
      <c r="LM41" s="1306">
        <f t="shared" si="530"/>
        <v>0</v>
      </c>
      <c r="LN41" s="1306">
        <f t="shared" si="530"/>
        <v>0</v>
      </c>
      <c r="LO41" s="1306">
        <f t="shared" si="530"/>
        <v>0</v>
      </c>
      <c r="LP41" s="1306">
        <f t="shared" si="530"/>
        <v>4020610</v>
      </c>
      <c r="LQ41" s="1306">
        <f t="shared" si="530"/>
        <v>4020610</v>
      </c>
      <c r="LR41" s="1306">
        <f t="shared" si="530"/>
        <v>0</v>
      </c>
      <c r="LS41" s="1306">
        <f t="shared" si="530"/>
        <v>0</v>
      </c>
      <c r="LT41" s="1306">
        <f t="shared" si="530"/>
        <v>0</v>
      </c>
      <c r="LU41" s="1306">
        <f t="shared" si="530"/>
        <v>0</v>
      </c>
      <c r="LV41" s="1306">
        <f t="shared" si="530"/>
        <v>0</v>
      </c>
      <c r="LW41" s="1306">
        <f t="shared" si="530"/>
        <v>0</v>
      </c>
      <c r="LX41" s="1306">
        <f t="shared" si="530"/>
        <v>0</v>
      </c>
      <c r="LY41" s="1306">
        <f t="shared" si="530"/>
        <v>0</v>
      </c>
      <c r="LZ41" s="1306">
        <f t="shared" si="530"/>
        <v>0</v>
      </c>
      <c r="MA41" s="1306">
        <f t="shared" si="530"/>
        <v>0</v>
      </c>
      <c r="MB41" s="1306">
        <f t="shared" si="530"/>
        <v>0</v>
      </c>
      <c r="MC41" s="1306">
        <f t="shared" si="530"/>
        <v>0</v>
      </c>
      <c r="MD41" s="1306">
        <f t="shared" si="530"/>
        <v>32277567.57</v>
      </c>
      <c r="ME41" s="1306">
        <f t="shared" si="530"/>
        <v>0</v>
      </c>
      <c r="MF41" s="1306">
        <f t="shared" si="530"/>
        <v>8392167.5700000003</v>
      </c>
      <c r="MG41" s="1306">
        <f t="shared" si="530"/>
        <v>23885400</v>
      </c>
      <c r="MH41" s="1306">
        <f t="shared" si="530"/>
        <v>21110008.829999998</v>
      </c>
      <c r="MI41" s="1306">
        <f t="shared" si="530"/>
        <v>0</v>
      </c>
      <c r="MJ41" s="1306">
        <f t="shared" si="530"/>
        <v>5488602.29</v>
      </c>
      <c r="MK41" s="1306">
        <f t="shared" si="530"/>
        <v>15621406.539999999</v>
      </c>
      <c r="ML41" s="1306">
        <f t="shared" ref="ML41:OW41" si="531">ML31-ML42</f>
        <v>32277567.57</v>
      </c>
      <c r="MM41" s="1306">
        <f t="shared" si="531"/>
        <v>0</v>
      </c>
      <c r="MN41" s="1306">
        <f t="shared" si="531"/>
        <v>8392167.5700000003</v>
      </c>
      <c r="MO41" s="1306">
        <f t="shared" si="531"/>
        <v>23885400</v>
      </c>
      <c r="MP41" s="1306">
        <f t="shared" si="531"/>
        <v>21110008.829999998</v>
      </c>
      <c r="MQ41" s="1306">
        <f t="shared" si="531"/>
        <v>0</v>
      </c>
      <c r="MR41" s="1306">
        <f t="shared" si="531"/>
        <v>5488602.29</v>
      </c>
      <c r="MS41" s="1306">
        <f t="shared" si="531"/>
        <v>15621406.539999999</v>
      </c>
      <c r="MT41" s="1306">
        <f t="shared" si="531"/>
        <v>0</v>
      </c>
      <c r="MU41" s="1306">
        <f t="shared" si="531"/>
        <v>0</v>
      </c>
      <c r="MV41" s="1306">
        <f t="shared" si="531"/>
        <v>0</v>
      </c>
      <c r="MW41" s="1306">
        <f t="shared" si="531"/>
        <v>0</v>
      </c>
      <c r="MX41" s="1306">
        <f t="shared" si="531"/>
        <v>0</v>
      </c>
      <c r="MY41" s="1306">
        <f t="shared" si="531"/>
        <v>0</v>
      </c>
      <c r="MZ41" s="1306">
        <f t="shared" si="531"/>
        <v>0</v>
      </c>
      <c r="NA41" s="1306">
        <f t="shared" si="531"/>
        <v>0</v>
      </c>
      <c r="NB41" s="1306">
        <f t="shared" si="531"/>
        <v>8895266.5100000016</v>
      </c>
      <c r="NC41" s="1306">
        <f t="shared" si="531"/>
        <v>0</v>
      </c>
      <c r="ND41" s="1306">
        <f t="shared" si="531"/>
        <v>0</v>
      </c>
      <c r="NE41" s="1306">
        <f t="shared" si="531"/>
        <v>1671589.1900000004</v>
      </c>
      <c r="NF41" s="1306">
        <f t="shared" si="531"/>
        <v>4757600</v>
      </c>
      <c r="NG41" s="1306">
        <f t="shared" si="531"/>
        <v>0</v>
      </c>
      <c r="NH41" s="1306">
        <f t="shared" si="531"/>
        <v>641180.10999999987</v>
      </c>
      <c r="NI41" s="1306">
        <f t="shared" si="531"/>
        <v>1824897.2100000004</v>
      </c>
      <c r="NJ41" s="1306">
        <f t="shared" si="531"/>
        <v>2671273.3400000003</v>
      </c>
      <c r="NK41" s="1306">
        <f t="shared" si="531"/>
        <v>0</v>
      </c>
      <c r="NL41" s="1306">
        <f t="shared" si="531"/>
        <v>0</v>
      </c>
      <c r="NM41" s="1306">
        <f t="shared" si="531"/>
        <v>170334.3</v>
      </c>
      <c r="NN41" s="1306">
        <f t="shared" si="531"/>
        <v>484797.61</v>
      </c>
      <c r="NO41" s="1306">
        <f t="shared" si="531"/>
        <v>0</v>
      </c>
      <c r="NP41" s="1306">
        <f t="shared" si="531"/>
        <v>524196.7699999999</v>
      </c>
      <c r="NQ41" s="1306">
        <f t="shared" si="531"/>
        <v>1491944.6600000001</v>
      </c>
      <c r="NR41" s="1306">
        <f t="shared" si="531"/>
        <v>164579708.91999999</v>
      </c>
      <c r="NS41" s="1306">
        <f t="shared" si="531"/>
        <v>18358.319999999985</v>
      </c>
      <c r="NT41" s="1306">
        <f t="shared" si="531"/>
        <v>164561350.59999999</v>
      </c>
      <c r="NU41" s="1306">
        <f t="shared" si="531"/>
        <v>45274.409999999989</v>
      </c>
      <c r="NV41" s="1306">
        <f t="shared" si="531"/>
        <v>11771.349999999991</v>
      </c>
      <c r="NW41" s="1306">
        <f t="shared" si="531"/>
        <v>33503.06</v>
      </c>
      <c r="NX41" s="1306">
        <f t="shared" si="531"/>
        <v>0</v>
      </c>
      <c r="NY41" s="1306">
        <f t="shared" si="531"/>
        <v>0</v>
      </c>
      <c r="NZ41" s="1306">
        <f t="shared" si="531"/>
        <v>0</v>
      </c>
      <c r="OA41" s="1306">
        <f t="shared" si="531"/>
        <v>0</v>
      </c>
      <c r="OB41" s="1306">
        <f t="shared" si="531"/>
        <v>0</v>
      </c>
      <c r="OC41" s="1306">
        <f t="shared" si="531"/>
        <v>0</v>
      </c>
      <c r="OD41" s="1306">
        <f t="shared" si="531"/>
        <v>164579708.91999999</v>
      </c>
      <c r="OE41" s="1306">
        <f t="shared" si="531"/>
        <v>18358.319999999985</v>
      </c>
      <c r="OF41" s="1306">
        <f t="shared" si="531"/>
        <v>164561350.59999999</v>
      </c>
      <c r="OG41" s="1306">
        <f t="shared" si="531"/>
        <v>45274.409999999989</v>
      </c>
      <c r="OH41" s="1306">
        <f t="shared" si="531"/>
        <v>11771.349999999991</v>
      </c>
      <c r="OI41" s="1306">
        <f t="shared" si="531"/>
        <v>33503.06</v>
      </c>
      <c r="OJ41" s="1306">
        <f t="shared" si="531"/>
        <v>0</v>
      </c>
      <c r="OK41" s="1306">
        <f t="shared" si="531"/>
        <v>0</v>
      </c>
      <c r="OL41" s="1306">
        <f t="shared" si="531"/>
        <v>0</v>
      </c>
      <c r="OM41" s="1306">
        <f t="shared" si="531"/>
        <v>0</v>
      </c>
      <c r="ON41" s="1306">
        <f t="shared" si="531"/>
        <v>0</v>
      </c>
      <c r="OO41" s="1306">
        <f t="shared" si="531"/>
        <v>0</v>
      </c>
      <c r="OP41" s="1306">
        <f t="shared" si="531"/>
        <v>0</v>
      </c>
      <c r="OQ41" s="1306">
        <f t="shared" si="531"/>
        <v>0</v>
      </c>
      <c r="OR41" s="1306">
        <f t="shared" si="531"/>
        <v>248560414.11000001</v>
      </c>
      <c r="OS41" s="1306">
        <f t="shared" si="531"/>
        <v>104000000</v>
      </c>
      <c r="OT41" s="1306">
        <f t="shared" si="531"/>
        <v>144560414.10999998</v>
      </c>
      <c r="OU41" s="1306">
        <f t="shared" si="531"/>
        <v>0</v>
      </c>
      <c r="OV41" s="1306">
        <f t="shared" si="531"/>
        <v>0</v>
      </c>
      <c r="OW41" s="1306">
        <f t="shared" si="531"/>
        <v>0</v>
      </c>
      <c r="OX41" s="1306">
        <f t="shared" ref="OX41:RM41" si="532">OX31-OX42</f>
        <v>0</v>
      </c>
      <c r="OY41" s="1306">
        <f t="shared" si="532"/>
        <v>0</v>
      </c>
      <c r="OZ41" s="1306">
        <f t="shared" si="532"/>
        <v>281107380.46999997</v>
      </c>
      <c r="PA41" s="1306">
        <f t="shared" si="532"/>
        <v>5473685.5999999978</v>
      </c>
      <c r="PB41" s="1306">
        <f t="shared" si="532"/>
        <v>104000000</v>
      </c>
      <c r="PC41" s="1306">
        <f t="shared" si="532"/>
        <v>171633694.87</v>
      </c>
      <c r="PD41" s="1306">
        <f t="shared" si="532"/>
        <v>107788573.53999999</v>
      </c>
      <c r="PE41" s="1306">
        <f t="shared" si="532"/>
        <v>3667099.2399999998</v>
      </c>
      <c r="PF41" s="1306">
        <f t="shared" si="532"/>
        <v>69674867.719999999</v>
      </c>
      <c r="PG41" s="1306">
        <f t="shared" si="532"/>
        <v>34446606.579999998</v>
      </c>
      <c r="PH41" s="1306">
        <f t="shared" si="532"/>
        <v>144560414.10999998</v>
      </c>
      <c r="PI41" s="1306">
        <f t="shared" si="532"/>
        <v>0</v>
      </c>
      <c r="PJ41" s="1306">
        <f t="shared" si="532"/>
        <v>0</v>
      </c>
      <c r="PK41" s="1306">
        <f t="shared" si="532"/>
        <v>144560414.10999998</v>
      </c>
      <c r="PL41" s="1306">
        <f t="shared" si="532"/>
        <v>34446606.579999998</v>
      </c>
      <c r="PM41" s="1306">
        <f t="shared" si="532"/>
        <v>0</v>
      </c>
      <c r="PN41" s="1306">
        <f t="shared" si="532"/>
        <v>0</v>
      </c>
      <c r="PO41" s="1306">
        <f t="shared" si="532"/>
        <v>34446606.579999998</v>
      </c>
      <c r="PP41" s="1306">
        <f t="shared" si="532"/>
        <v>136546966.35999998</v>
      </c>
      <c r="PQ41" s="1306">
        <f t="shared" si="532"/>
        <v>5473685.5999999978</v>
      </c>
      <c r="PR41" s="1306">
        <f t="shared" si="532"/>
        <v>104000000</v>
      </c>
      <c r="PS41" s="1306">
        <f t="shared" si="532"/>
        <v>27073280.759999998</v>
      </c>
      <c r="PT41" s="1306">
        <f t="shared" si="532"/>
        <v>73341966.959999993</v>
      </c>
      <c r="PU41" s="1306">
        <f t="shared" si="532"/>
        <v>3667099.2399999998</v>
      </c>
      <c r="PV41" s="1306">
        <f t="shared" si="532"/>
        <v>69674867.719999999</v>
      </c>
      <c r="PW41" s="1306">
        <f t="shared" si="532"/>
        <v>0</v>
      </c>
      <c r="PX41" s="1306">
        <f t="shared" si="532"/>
        <v>0</v>
      </c>
      <c r="PY41" s="1306">
        <f t="shared" si="532"/>
        <v>0</v>
      </c>
      <c r="PZ41" s="1306">
        <f t="shared" si="532"/>
        <v>0</v>
      </c>
      <c r="QA41" s="1306">
        <f t="shared" ref="QA41:QG41" si="533">QA31-QA42</f>
        <v>0</v>
      </c>
      <c r="QB41" s="1306">
        <f t="shared" si="533"/>
        <v>0</v>
      </c>
      <c r="QC41" s="1306">
        <f t="shared" si="533"/>
        <v>0</v>
      </c>
      <c r="QD41" s="1306">
        <f t="shared" si="533"/>
        <v>0</v>
      </c>
      <c r="QE41" s="1306">
        <f t="shared" si="533"/>
        <v>0</v>
      </c>
      <c r="QF41" s="1306">
        <f t="shared" si="533"/>
        <v>0</v>
      </c>
      <c r="QG41" s="1306">
        <f t="shared" si="533"/>
        <v>0</v>
      </c>
      <c r="QH41" s="1306">
        <f t="shared" si="532"/>
        <v>6360592.71</v>
      </c>
      <c r="QI41" s="1306">
        <f t="shared" si="532"/>
        <v>318029.62999999989</v>
      </c>
      <c r="QJ41" s="1306">
        <f t="shared" si="532"/>
        <v>6042563.0800000001</v>
      </c>
      <c r="QK41" s="1306">
        <f t="shared" si="532"/>
        <v>1248022.27</v>
      </c>
      <c r="QL41" s="1306">
        <f t="shared" si="532"/>
        <v>62401.11</v>
      </c>
      <c r="QM41" s="1306">
        <f t="shared" si="532"/>
        <v>1185621.1599999999</v>
      </c>
      <c r="QN41" s="1306">
        <f t="shared" si="532"/>
        <v>6360592.71</v>
      </c>
      <c r="QO41" s="1306">
        <f t="shared" si="532"/>
        <v>318029.62999999989</v>
      </c>
      <c r="QP41" s="1306">
        <f t="shared" si="532"/>
        <v>6042563.0800000001</v>
      </c>
      <c r="QQ41" s="1306">
        <f t="shared" si="532"/>
        <v>1248022.27</v>
      </c>
      <c r="QR41" s="1306">
        <f t="shared" si="532"/>
        <v>62401.11</v>
      </c>
      <c r="QS41" s="1306">
        <f t="shared" si="532"/>
        <v>1185621.1599999999</v>
      </c>
      <c r="QT41" s="1306">
        <f t="shared" si="532"/>
        <v>0</v>
      </c>
      <c r="QU41" s="1306">
        <f t="shared" si="532"/>
        <v>0</v>
      </c>
      <c r="QV41" s="1306">
        <f t="shared" si="532"/>
        <v>0</v>
      </c>
      <c r="QW41" s="1306">
        <f t="shared" si="532"/>
        <v>0</v>
      </c>
      <c r="QX41" s="1306">
        <f t="shared" si="532"/>
        <v>0</v>
      </c>
      <c r="QY41" s="1306">
        <f t="shared" si="532"/>
        <v>0</v>
      </c>
      <c r="QZ41" s="1306">
        <f t="shared" si="532"/>
        <v>0</v>
      </c>
      <c r="RA41" s="1306">
        <f t="shared" si="532"/>
        <v>0</v>
      </c>
      <c r="RB41" s="1306">
        <f t="shared" si="532"/>
        <v>0</v>
      </c>
      <c r="RC41" s="1306">
        <f t="shared" si="532"/>
        <v>0</v>
      </c>
      <c r="RD41" s="1306">
        <f t="shared" si="532"/>
        <v>0</v>
      </c>
      <c r="RE41" s="1306">
        <f t="shared" si="532"/>
        <v>0</v>
      </c>
      <c r="RF41" s="1306">
        <f t="shared" si="532"/>
        <v>0</v>
      </c>
      <c r="RG41" s="1306">
        <f t="shared" si="532"/>
        <v>0</v>
      </c>
      <c r="RH41" s="1306">
        <f t="shared" si="532"/>
        <v>0</v>
      </c>
      <c r="RI41" s="1306">
        <f t="shared" si="532"/>
        <v>0</v>
      </c>
      <c r="RJ41" s="1306">
        <f t="shared" si="532"/>
        <v>0</v>
      </c>
      <c r="RK41" s="1306">
        <f t="shared" si="532"/>
        <v>0</v>
      </c>
      <c r="RL41" s="1306">
        <f t="shared" si="532"/>
        <v>0</v>
      </c>
      <c r="RM41" s="1306">
        <f t="shared" si="532"/>
        <v>0</v>
      </c>
      <c r="RN41" s="1306">
        <f t="shared" ref="RN41:TY41" si="534">RN31-RN42</f>
        <v>0</v>
      </c>
      <c r="RO41" s="1306">
        <f t="shared" si="534"/>
        <v>0</v>
      </c>
      <c r="RP41" s="1306">
        <f t="shared" si="534"/>
        <v>0</v>
      </c>
      <c r="RQ41" s="1306">
        <f t="shared" si="534"/>
        <v>0</v>
      </c>
      <c r="RR41" s="1306">
        <f t="shared" si="534"/>
        <v>0</v>
      </c>
      <c r="RS41" s="1306">
        <f t="shared" si="534"/>
        <v>0</v>
      </c>
      <c r="RT41" s="1306">
        <f t="shared" si="534"/>
        <v>0</v>
      </c>
      <c r="RU41" s="1306">
        <f t="shared" si="534"/>
        <v>0</v>
      </c>
      <c r="RV41" s="1306">
        <f t="shared" si="534"/>
        <v>0</v>
      </c>
      <c r="RW41" s="1306">
        <f t="shared" si="534"/>
        <v>0</v>
      </c>
      <c r="RX41" s="1306">
        <f t="shared" si="534"/>
        <v>0</v>
      </c>
      <c r="RY41" s="1306">
        <f t="shared" si="534"/>
        <v>0</v>
      </c>
      <c r="RZ41" s="1306">
        <f t="shared" si="534"/>
        <v>0</v>
      </c>
      <c r="SA41" s="1306">
        <f t="shared" si="534"/>
        <v>0</v>
      </c>
      <c r="SB41" s="1306">
        <f t="shared" si="534"/>
        <v>0</v>
      </c>
      <c r="SC41" s="1306">
        <f t="shared" si="534"/>
        <v>0</v>
      </c>
      <c r="SD41" s="1306">
        <f t="shared" si="534"/>
        <v>0</v>
      </c>
      <c r="SE41" s="1306">
        <f t="shared" si="534"/>
        <v>0</v>
      </c>
      <c r="SF41" s="1306">
        <f t="shared" si="534"/>
        <v>0</v>
      </c>
      <c r="SG41" s="1306">
        <f t="shared" si="534"/>
        <v>0</v>
      </c>
      <c r="SH41" s="1306">
        <f t="shared" si="534"/>
        <v>0</v>
      </c>
      <c r="SI41" s="1306">
        <f t="shared" si="534"/>
        <v>0</v>
      </c>
      <c r="SJ41" s="1306">
        <f t="shared" si="534"/>
        <v>101646756.76000001</v>
      </c>
      <c r="SK41" s="1306">
        <f t="shared" si="534"/>
        <v>0</v>
      </c>
      <c r="SL41" s="1306">
        <f t="shared" si="534"/>
        <v>26428156.760000005</v>
      </c>
      <c r="SM41" s="1306">
        <f t="shared" si="534"/>
        <v>75218600</v>
      </c>
      <c r="SN41" s="1306">
        <f t="shared" si="534"/>
        <v>1287992.52</v>
      </c>
      <c r="SO41" s="1306">
        <f t="shared" si="534"/>
        <v>0</v>
      </c>
      <c r="SP41" s="1306">
        <f t="shared" si="534"/>
        <v>334878.06</v>
      </c>
      <c r="SQ41" s="1306">
        <f t="shared" si="534"/>
        <v>953114.46</v>
      </c>
      <c r="SR41" s="1306">
        <f t="shared" si="534"/>
        <v>0</v>
      </c>
      <c r="SS41" s="1306">
        <f t="shared" si="534"/>
        <v>0</v>
      </c>
      <c r="ST41" s="1306">
        <f t="shared" si="534"/>
        <v>0</v>
      </c>
      <c r="SU41" s="1306">
        <f t="shared" si="534"/>
        <v>0</v>
      </c>
      <c r="SV41" s="1306">
        <f t="shared" si="534"/>
        <v>0</v>
      </c>
      <c r="SW41" s="1306">
        <f t="shared" si="534"/>
        <v>0</v>
      </c>
      <c r="SX41" s="1306">
        <f t="shared" si="534"/>
        <v>605728410.53000009</v>
      </c>
      <c r="SY41" s="1306">
        <f t="shared" si="534"/>
        <v>0</v>
      </c>
      <c r="SZ41" s="1306">
        <f t="shared" si="534"/>
        <v>0</v>
      </c>
      <c r="TA41" s="1306">
        <f t="shared" si="534"/>
        <v>0</v>
      </c>
      <c r="TB41" s="1306">
        <f t="shared" si="534"/>
        <v>0</v>
      </c>
      <c r="TC41" s="1306">
        <f t="shared" si="534"/>
        <v>24122010.529999979</v>
      </c>
      <c r="TD41" s="1306">
        <f t="shared" si="534"/>
        <v>581606400</v>
      </c>
      <c r="TE41" s="1306">
        <f t="shared" si="534"/>
        <v>294283463.48999995</v>
      </c>
      <c r="TF41" s="1306">
        <f t="shared" si="534"/>
        <v>0</v>
      </c>
      <c r="TG41" s="1306">
        <f t="shared" si="534"/>
        <v>0</v>
      </c>
      <c r="TH41" s="1306">
        <f t="shared" si="534"/>
        <v>0</v>
      </c>
      <c r="TI41" s="1306">
        <f t="shared" si="534"/>
        <v>0</v>
      </c>
      <c r="TJ41" s="1306">
        <f t="shared" si="534"/>
        <v>14714173.170000002</v>
      </c>
      <c r="TK41" s="1306">
        <f t="shared" si="534"/>
        <v>279569290.32000005</v>
      </c>
      <c r="TL41" s="1306">
        <f t="shared" si="534"/>
        <v>107188675.54000001</v>
      </c>
      <c r="TM41" s="1306">
        <f t="shared" si="534"/>
        <v>5359433.810000008</v>
      </c>
      <c r="TN41" s="1306">
        <f t="shared" si="534"/>
        <v>101829241.72999999</v>
      </c>
      <c r="TO41" s="1306">
        <f t="shared" si="534"/>
        <v>0</v>
      </c>
      <c r="TP41" s="1306">
        <f t="shared" si="534"/>
        <v>0</v>
      </c>
      <c r="TQ41" s="1306">
        <f t="shared" si="534"/>
        <v>0</v>
      </c>
      <c r="TR41" s="1306">
        <f t="shared" si="534"/>
        <v>0</v>
      </c>
      <c r="TS41" s="1306">
        <f t="shared" si="534"/>
        <v>21380391.789999999</v>
      </c>
      <c r="TT41" s="1306">
        <f t="shared" si="534"/>
        <v>1069019.56</v>
      </c>
      <c r="TU41" s="1306">
        <f t="shared" si="534"/>
        <v>20311372.23</v>
      </c>
      <c r="TV41" s="1306">
        <f t="shared" si="534"/>
        <v>0</v>
      </c>
      <c r="TW41" s="1306">
        <f t="shared" si="534"/>
        <v>0</v>
      </c>
      <c r="TX41" s="1306">
        <f t="shared" si="534"/>
        <v>0</v>
      </c>
      <c r="TY41" s="1306">
        <f t="shared" si="534"/>
        <v>0</v>
      </c>
      <c r="TZ41" s="1306">
        <f t="shared" ref="TZ41:WK41" si="535">TZ31-TZ42</f>
        <v>79504169.310000002</v>
      </c>
      <c r="UA41" s="1306">
        <f t="shared" si="535"/>
        <v>4347096.1900000069</v>
      </c>
      <c r="UB41" s="1306">
        <f t="shared" si="535"/>
        <v>82594827.389999986</v>
      </c>
      <c r="UC41" s="1306">
        <f t="shared" si="535"/>
        <v>-371887.70999999973</v>
      </c>
      <c r="UD41" s="1306">
        <f t="shared" si="535"/>
        <v>-7065866.5600000005</v>
      </c>
      <c r="UE41" s="1306">
        <f t="shared" si="535"/>
        <v>0</v>
      </c>
      <c r="UF41" s="1306">
        <f t="shared" si="535"/>
        <v>0</v>
      </c>
      <c r="UG41" s="1306">
        <f t="shared" si="535"/>
        <v>20394882.899999999</v>
      </c>
      <c r="UH41" s="1306">
        <f t="shared" si="535"/>
        <v>1019744.1199999999</v>
      </c>
      <c r="UI41" s="1306">
        <f t="shared" si="535"/>
        <v>19375138.780000001</v>
      </c>
      <c r="UJ41" s="1306">
        <f t="shared" si="535"/>
        <v>0</v>
      </c>
      <c r="UK41" s="1306">
        <f t="shared" si="535"/>
        <v>0</v>
      </c>
      <c r="UL41" s="1306">
        <f t="shared" si="535"/>
        <v>0</v>
      </c>
      <c r="UM41" s="1306">
        <f t="shared" si="535"/>
        <v>0</v>
      </c>
      <c r="UN41" s="1306">
        <f t="shared" si="535"/>
        <v>27684506.23</v>
      </c>
      <c r="UO41" s="1306">
        <f t="shared" si="535"/>
        <v>1012337.620000001</v>
      </c>
      <c r="UP41" s="1306">
        <f t="shared" si="535"/>
        <v>19234414.34</v>
      </c>
      <c r="UQ41" s="1306">
        <f t="shared" si="535"/>
        <v>371887.70999999973</v>
      </c>
      <c r="UR41" s="1306">
        <f t="shared" si="535"/>
        <v>7065866.5600000005</v>
      </c>
      <c r="US41" s="1306">
        <f t="shared" si="535"/>
        <v>0</v>
      </c>
      <c r="UT41" s="1306">
        <f t="shared" si="535"/>
        <v>0</v>
      </c>
      <c r="UU41" s="1306">
        <f t="shared" si="535"/>
        <v>985508.8899999999</v>
      </c>
      <c r="UV41" s="1306">
        <f t="shared" si="535"/>
        <v>49275.439999999995</v>
      </c>
      <c r="UW41" s="1306">
        <f t="shared" si="535"/>
        <v>936233.45</v>
      </c>
      <c r="UX41" s="1306">
        <f t="shared" si="535"/>
        <v>0</v>
      </c>
      <c r="UY41" s="1306">
        <f t="shared" si="535"/>
        <v>0</v>
      </c>
      <c r="UZ41" s="1306">
        <f t="shared" si="535"/>
        <v>0</v>
      </c>
      <c r="VA41" s="1306">
        <f t="shared" si="535"/>
        <v>0</v>
      </c>
      <c r="VB41" s="1306">
        <f t="shared" si="535"/>
        <v>1645937232.5100005</v>
      </c>
      <c r="VC41" s="1306">
        <f t="shared" si="535"/>
        <v>382645654.07000005</v>
      </c>
      <c r="VD41" s="1306">
        <f t="shared" si="535"/>
        <v>184016467.18000004</v>
      </c>
      <c r="VE41" s="1306">
        <f t="shared" si="535"/>
        <v>33714991.949999996</v>
      </c>
      <c r="VF41" s="1306">
        <f t="shared" si="535"/>
        <v>23496354.770000003</v>
      </c>
      <c r="VG41" s="1306">
        <f t="shared" si="535"/>
        <v>6937380.6699999999</v>
      </c>
      <c r="VH41" s="1306">
        <f t="shared" si="535"/>
        <v>160520112.41000003</v>
      </c>
      <c r="VI41" s="1306">
        <f t="shared" si="535"/>
        <v>26777611.279999997</v>
      </c>
      <c r="VJ41" s="1306">
        <f t="shared" si="535"/>
        <v>6886163908.8100014</v>
      </c>
      <c r="VK41" s="1306">
        <f t="shared" si="535"/>
        <v>6684622280.8599997</v>
      </c>
      <c r="VL41" s="1306">
        <f t="shared" si="535"/>
        <v>201541627.95000002</v>
      </c>
      <c r="VM41" s="1306">
        <f t="shared" si="535"/>
        <v>4191685953.8000002</v>
      </c>
      <c r="VN41" s="1306">
        <f t="shared" si="535"/>
        <v>4077527793.4699993</v>
      </c>
      <c r="VO41" s="1306">
        <f t="shared" si="535"/>
        <v>114158160.33000001</v>
      </c>
      <c r="VP41" s="1306">
        <f t="shared" si="535"/>
        <v>6382168060.0300007</v>
      </c>
      <c r="VQ41" s="1306">
        <f t="shared" si="535"/>
        <v>3919439935.8100004</v>
      </c>
      <c r="VR41" s="1306">
        <f t="shared" si="535"/>
        <v>223130685</v>
      </c>
      <c r="VS41" s="1306">
        <f t="shared" si="535"/>
        <v>112310270</v>
      </c>
      <c r="VT41" s="1306">
        <f t="shared" si="535"/>
        <v>0</v>
      </c>
      <c r="VU41" s="1306">
        <f t="shared" si="535"/>
        <v>0</v>
      </c>
      <c r="VV41" s="1306">
        <f t="shared" si="535"/>
        <v>36969300</v>
      </c>
      <c r="VW41" s="1306">
        <f t="shared" si="535"/>
        <v>14961629.73</v>
      </c>
      <c r="VX41" s="1306">
        <f t="shared" si="535"/>
        <v>0</v>
      </c>
      <c r="VY41" s="1306">
        <f t="shared" si="535"/>
        <v>0</v>
      </c>
      <c r="VZ41" s="1306">
        <f t="shared" si="535"/>
        <v>0</v>
      </c>
      <c r="WA41" s="1306">
        <f t="shared" si="535"/>
        <v>0</v>
      </c>
      <c r="WB41" s="1306">
        <f t="shared" si="535"/>
        <v>1553000</v>
      </c>
      <c r="WC41" s="1306">
        <f t="shared" si="535"/>
        <v>0</v>
      </c>
      <c r="WD41" s="1306">
        <f t="shared" si="535"/>
        <v>0</v>
      </c>
      <c r="WE41" s="1306">
        <f t="shared" si="535"/>
        <v>0</v>
      </c>
      <c r="WF41" s="1306">
        <f t="shared" si="535"/>
        <v>203619362.11000001</v>
      </c>
      <c r="WG41" s="1306">
        <f t="shared" si="535"/>
        <v>52941034.160000004</v>
      </c>
      <c r="WH41" s="1306">
        <f t="shared" si="535"/>
        <v>150678327.95000002</v>
      </c>
      <c r="WI41" s="1306">
        <f t="shared" si="535"/>
        <v>125598414.05999999</v>
      </c>
      <c r="WJ41" s="1306">
        <f t="shared" si="535"/>
        <v>32655587.66</v>
      </c>
      <c r="WK41" s="1306">
        <f t="shared" si="535"/>
        <v>92942826.399999976</v>
      </c>
      <c r="WL41" s="1306">
        <f t="shared" ref="WL41:YW41" si="536">WL31-WL42</f>
        <v>38723501.670000002</v>
      </c>
      <c r="WM41" s="1306">
        <f t="shared" si="536"/>
        <v>26382501.669999998</v>
      </c>
      <c r="WN41" s="1306">
        <f t="shared" si="536"/>
        <v>12341000</v>
      </c>
      <c r="WO41" s="1306">
        <f t="shared" si="536"/>
        <v>19375704.200000003</v>
      </c>
      <c r="WP41" s="1306">
        <f t="shared" si="536"/>
        <v>393000</v>
      </c>
      <c r="WQ41" s="1306">
        <f t="shared" si="536"/>
        <v>6253704.1999999993</v>
      </c>
      <c r="WR41" s="1306">
        <f t="shared" si="536"/>
        <v>1516856599.23</v>
      </c>
      <c r="WS41" s="1306">
        <f t="shared" si="536"/>
        <v>475711789.44</v>
      </c>
      <c r="WT41" s="1306">
        <f t="shared" si="536"/>
        <v>0</v>
      </c>
      <c r="WU41" s="1306">
        <f t="shared" si="536"/>
        <v>0</v>
      </c>
      <c r="WV41" s="1306">
        <f t="shared" si="536"/>
        <v>0</v>
      </c>
      <c r="WW41" s="1306">
        <f t="shared" si="536"/>
        <v>0</v>
      </c>
      <c r="WX41" s="1306">
        <f t="shared" si="536"/>
        <v>0</v>
      </c>
      <c r="WY41" s="1306">
        <f t="shared" si="536"/>
        <v>0</v>
      </c>
      <c r="WZ41" s="1306">
        <f t="shared" si="536"/>
        <v>30466962.68</v>
      </c>
      <c r="XA41" s="1306">
        <f t="shared" si="536"/>
        <v>1523348.1300000004</v>
      </c>
      <c r="XB41" s="1306">
        <f t="shared" si="536"/>
        <v>28943614.550000001</v>
      </c>
      <c r="XC41" s="1306">
        <f t="shared" si="536"/>
        <v>17833289.02</v>
      </c>
      <c r="XD41" s="1306">
        <f t="shared" si="536"/>
        <v>891664.5</v>
      </c>
      <c r="XE41" s="1306">
        <f t="shared" si="536"/>
        <v>16941624.520000003</v>
      </c>
      <c r="XF41" s="1306">
        <f t="shared" si="536"/>
        <v>221959545</v>
      </c>
      <c r="XG41" s="1306">
        <f t="shared" si="536"/>
        <v>0</v>
      </c>
      <c r="XH41" s="1306">
        <f t="shared" si="536"/>
        <v>221959545</v>
      </c>
      <c r="XI41" s="1306">
        <f t="shared" si="536"/>
        <v>210212866.56999996</v>
      </c>
      <c r="XJ41" s="1306">
        <f t="shared" si="536"/>
        <v>0</v>
      </c>
      <c r="XK41" s="1306">
        <f t="shared" si="536"/>
        <v>210212866.56999996</v>
      </c>
      <c r="XL41" s="1306">
        <f t="shared" si="536"/>
        <v>0</v>
      </c>
      <c r="XM41" s="1306">
        <f t="shared" si="536"/>
        <v>0</v>
      </c>
      <c r="XN41" s="1306">
        <f t="shared" si="536"/>
        <v>0</v>
      </c>
      <c r="XO41" s="1306">
        <f t="shared" si="536"/>
        <v>0</v>
      </c>
      <c r="XP41" s="1306">
        <f t="shared" si="536"/>
        <v>240950249.07999998</v>
      </c>
      <c r="XQ41" s="1306">
        <f t="shared" si="536"/>
        <v>240950249.07999998</v>
      </c>
      <c r="XR41" s="1306">
        <f t="shared" si="536"/>
        <v>7504113.5299999993</v>
      </c>
      <c r="XS41" s="1306">
        <f t="shared" si="536"/>
        <v>7504113.5299999993</v>
      </c>
      <c r="XT41" s="1306">
        <f t="shared" si="536"/>
        <v>0</v>
      </c>
      <c r="XU41" s="1306">
        <f t="shared" si="536"/>
        <v>0</v>
      </c>
      <c r="XV41" s="1306">
        <f t="shared" si="536"/>
        <v>240950249.07999998</v>
      </c>
      <c r="XW41" s="1306">
        <f t="shared" si="536"/>
        <v>7504113.5299999993</v>
      </c>
      <c r="XX41" s="1306">
        <f t="shared" si="536"/>
        <v>625868944.11999989</v>
      </c>
      <c r="XY41" s="1306">
        <f t="shared" si="536"/>
        <v>0</v>
      </c>
      <c r="XZ41" s="1306">
        <f t="shared" si="536"/>
        <v>285584848.18999994</v>
      </c>
      <c r="YA41" s="1306">
        <f t="shared" si="536"/>
        <v>0</v>
      </c>
      <c r="YB41" s="1306">
        <f t="shared" si="536"/>
        <v>0</v>
      </c>
      <c r="YC41" s="1306">
        <f t="shared" si="536"/>
        <v>102552380</v>
      </c>
      <c r="YD41" s="1306">
        <f t="shared" si="536"/>
        <v>198713650.10999995</v>
      </c>
      <c r="YE41" s="1306">
        <f t="shared" si="536"/>
        <v>0</v>
      </c>
      <c r="YF41" s="1306">
        <f t="shared" si="536"/>
        <v>0</v>
      </c>
      <c r="YG41" s="1306">
        <f t="shared" si="536"/>
        <v>0</v>
      </c>
      <c r="YH41" s="1306">
        <f t="shared" si="536"/>
        <v>39018065.819999993</v>
      </c>
      <c r="YI41" s="1306">
        <f t="shared" si="536"/>
        <v>148672371.18999997</v>
      </c>
      <c r="YJ41" s="1306">
        <f t="shared" si="536"/>
        <v>0</v>
      </c>
      <c r="YK41" s="1306">
        <f t="shared" si="536"/>
        <v>16188782.789999999</v>
      </c>
      <c r="YL41" s="1306">
        <f t="shared" si="536"/>
        <v>0</v>
      </c>
      <c r="YM41" s="1306">
        <f t="shared" si="536"/>
        <v>0</v>
      </c>
      <c r="YN41" s="1306">
        <f t="shared" si="536"/>
        <v>102552380</v>
      </c>
      <c r="YO41" s="1306">
        <f t="shared" si="536"/>
        <v>10183255.199999999</v>
      </c>
      <c r="YP41" s="1306">
        <f t="shared" si="536"/>
        <v>0</v>
      </c>
      <c r="YQ41" s="1306">
        <f t="shared" si="536"/>
        <v>0</v>
      </c>
      <c r="YR41" s="1306">
        <f t="shared" si="536"/>
        <v>0</v>
      </c>
      <c r="YS41" s="1306">
        <f t="shared" si="536"/>
        <v>19747953.20000001</v>
      </c>
      <c r="YT41" s="1306">
        <f t="shared" si="536"/>
        <v>397610898.35000002</v>
      </c>
      <c r="YU41" s="1306">
        <f t="shared" si="536"/>
        <v>51888578.649999999</v>
      </c>
      <c r="YV41" s="1306">
        <f t="shared" si="536"/>
        <v>51225900</v>
      </c>
      <c r="YW41" s="1306">
        <f t="shared" si="536"/>
        <v>186086294.48000002</v>
      </c>
      <c r="YX41" s="1306">
        <f t="shared" ref="YX41:AAU41" si="537">YX31-YX42</f>
        <v>44791312.649999999</v>
      </c>
      <c r="YY41" s="1306">
        <f t="shared" si="537"/>
        <v>63618812.569999985</v>
      </c>
      <c r="YZ41" s="1306">
        <f t="shared" si="537"/>
        <v>91489149.129999995</v>
      </c>
      <c r="ZA41" s="1306">
        <f t="shared" si="537"/>
        <v>29774642.579999998</v>
      </c>
      <c r="ZB41" s="1306">
        <f t="shared" si="537"/>
        <v>51225900</v>
      </c>
      <c r="ZC41" s="1306">
        <f t="shared" si="537"/>
        <v>0</v>
      </c>
      <c r="ZD41" s="1306">
        <f t="shared" si="537"/>
        <v>10488606.550000001</v>
      </c>
      <c r="ZE41" s="1306">
        <f t="shared" si="537"/>
        <v>0</v>
      </c>
      <c r="ZF41" s="1306">
        <f t="shared" si="537"/>
        <v>332468747.05000001</v>
      </c>
      <c r="ZG41" s="1306">
        <f t="shared" si="537"/>
        <v>39589674.650000006</v>
      </c>
      <c r="ZH41" s="1306">
        <f t="shared" si="537"/>
        <v>0</v>
      </c>
      <c r="ZI41" s="1306">
        <f t="shared" si="537"/>
        <v>186086294.48000002</v>
      </c>
      <c r="ZJ41" s="1306">
        <f t="shared" si="537"/>
        <v>44791312.649999999</v>
      </c>
      <c r="ZK41" s="1306">
        <f t="shared" si="537"/>
        <v>62001465.269999988</v>
      </c>
      <c r="ZL41" s="1306">
        <f t="shared" si="537"/>
        <v>31098791.760000002</v>
      </c>
      <c r="ZM41" s="1306">
        <f t="shared" si="537"/>
        <v>20610185.210000001</v>
      </c>
      <c r="ZN41" s="1306">
        <f t="shared" si="537"/>
        <v>0</v>
      </c>
      <c r="ZO41" s="1306">
        <f t="shared" si="537"/>
        <v>0</v>
      </c>
      <c r="ZP41" s="1306">
        <f t="shared" si="537"/>
        <v>10488606.550000001</v>
      </c>
      <c r="ZQ41" s="1306">
        <f t="shared" si="537"/>
        <v>0</v>
      </c>
      <c r="ZR41" s="1306">
        <f t="shared" si="537"/>
        <v>65142151.299999997</v>
      </c>
      <c r="ZS41" s="1306">
        <f t="shared" si="537"/>
        <v>12298904</v>
      </c>
      <c r="ZT41" s="1306">
        <f t="shared" si="537"/>
        <v>51225900</v>
      </c>
      <c r="ZU41" s="1306">
        <f t="shared" si="537"/>
        <v>0</v>
      </c>
      <c r="ZV41" s="1306">
        <f t="shared" si="537"/>
        <v>0</v>
      </c>
      <c r="ZW41" s="1306">
        <f t="shared" si="537"/>
        <v>1617347.3000000003</v>
      </c>
      <c r="ZX41" s="1306">
        <f t="shared" si="537"/>
        <v>60390357.369999997</v>
      </c>
      <c r="ZY41" s="1306">
        <f t="shared" si="537"/>
        <v>9164457.3699999992</v>
      </c>
      <c r="ZZ41" s="1306">
        <f t="shared" si="537"/>
        <v>51225900</v>
      </c>
      <c r="AAA41" s="1306">
        <f t="shared" si="537"/>
        <v>0</v>
      </c>
      <c r="AAB41" s="1306">
        <f t="shared" si="537"/>
        <v>0</v>
      </c>
      <c r="AAC41" s="1306">
        <f t="shared" si="537"/>
        <v>0</v>
      </c>
      <c r="AAD41" s="1306">
        <f t="shared" si="537"/>
        <v>-37900000</v>
      </c>
      <c r="AAE41" s="1306">
        <f t="shared" si="537"/>
        <v>0</v>
      </c>
      <c r="AAF41" s="1306">
        <f t="shared" si="537"/>
        <v>0</v>
      </c>
      <c r="AAG41" s="1306">
        <f t="shared" si="537"/>
        <v>0</v>
      </c>
      <c r="AAH41" s="1306">
        <f t="shared" si="537"/>
        <v>0</v>
      </c>
      <c r="AAI41" s="1306">
        <f t="shared" si="537"/>
        <v>0</v>
      </c>
      <c r="AAJ41" s="1306">
        <f t="shared" si="537"/>
        <v>0</v>
      </c>
      <c r="AAK41" s="1306">
        <f t="shared" si="537"/>
        <v>0</v>
      </c>
      <c r="AAL41" s="1306">
        <f t="shared" si="537"/>
        <v>0</v>
      </c>
      <c r="AAM41" s="1306">
        <f t="shared" si="537"/>
        <v>0</v>
      </c>
      <c r="AAN41" s="1306">
        <f t="shared" si="537"/>
        <v>-36700000</v>
      </c>
      <c r="AAO41" s="1306">
        <f t="shared" si="537"/>
        <v>0</v>
      </c>
      <c r="AAP41" s="1306">
        <f t="shared" si="537"/>
        <v>-1200000</v>
      </c>
      <c r="AAQ41" s="1306">
        <f t="shared" si="537"/>
        <v>0</v>
      </c>
      <c r="AAR41" s="1306">
        <f t="shared" si="537"/>
        <v>-550000</v>
      </c>
      <c r="AAS41" s="1306">
        <f t="shared" si="537"/>
        <v>0</v>
      </c>
      <c r="AAT41" s="1306">
        <f t="shared" si="537"/>
        <v>-650000</v>
      </c>
      <c r="AAU41" s="1306">
        <f t="shared" si="537"/>
        <v>0</v>
      </c>
      <c r="AAV41" s="993"/>
      <c r="AAW41" s="694"/>
    </row>
    <row r="42" spans="1:725" ht="24" customHeight="1" x14ac:dyDescent="0.25">
      <c r="A42" s="998" t="s">
        <v>763</v>
      </c>
      <c r="B42" s="1307">
        <f t="shared" ref="B42:BR42" si="538">B13+B14+B15+B16</f>
        <v>4203607527.9899998</v>
      </c>
      <c r="C42" s="1307">
        <f t="shared" si="538"/>
        <v>1529682687.25</v>
      </c>
      <c r="D42" s="1307">
        <f t="shared" si="538"/>
        <v>706198752</v>
      </c>
      <c r="E42" s="1307">
        <f t="shared" si="538"/>
        <v>321302000</v>
      </c>
      <c r="F42" s="1307">
        <f t="shared" si="538"/>
        <v>671918752</v>
      </c>
      <c r="G42" s="1307">
        <f t="shared" si="538"/>
        <v>311602000</v>
      </c>
      <c r="H42" s="1307">
        <f t="shared" si="538"/>
        <v>0</v>
      </c>
      <c r="I42" s="1307">
        <f t="shared" si="538"/>
        <v>0</v>
      </c>
      <c r="J42" s="1307">
        <f t="shared" si="538"/>
        <v>0</v>
      </c>
      <c r="K42" s="1307">
        <f t="shared" si="538"/>
        <v>0</v>
      </c>
      <c r="L42" s="1307">
        <f t="shared" si="538"/>
        <v>0</v>
      </c>
      <c r="M42" s="1307">
        <f t="shared" si="538"/>
        <v>0</v>
      </c>
      <c r="N42" s="1307">
        <f t="shared" si="538"/>
        <v>31580000</v>
      </c>
      <c r="O42" s="1307">
        <f t="shared" si="538"/>
        <v>7000000</v>
      </c>
      <c r="P42" s="1307">
        <f t="shared" si="538"/>
        <v>0</v>
      </c>
      <c r="Q42" s="1307">
        <f t="shared" si="538"/>
        <v>0</v>
      </c>
      <c r="R42" s="1307">
        <f t="shared" si="538"/>
        <v>0</v>
      </c>
      <c r="S42" s="1307">
        <f t="shared" si="538"/>
        <v>0</v>
      </c>
      <c r="T42" s="1307">
        <f t="shared" si="538"/>
        <v>0</v>
      </c>
      <c r="U42" s="1307">
        <f t="shared" si="538"/>
        <v>0</v>
      </c>
      <c r="V42" s="1307">
        <f t="shared" si="538"/>
        <v>2700000</v>
      </c>
      <c r="W42" s="1307">
        <f t="shared" ref="W42:Y42" si="539">W13+W14+W15+W16</f>
        <v>600000</v>
      </c>
      <c r="X42" s="1307">
        <f t="shared" si="539"/>
        <v>2100000</v>
      </c>
      <c r="Y42" s="1307">
        <f t="shared" si="539"/>
        <v>0</v>
      </c>
      <c r="Z42" s="1307">
        <f t="shared" si="538"/>
        <v>2700000</v>
      </c>
      <c r="AA42" s="1307">
        <f t="shared" si="538"/>
        <v>600000</v>
      </c>
      <c r="AB42" s="1307">
        <f t="shared" si="538"/>
        <v>2100000</v>
      </c>
      <c r="AC42" s="1307">
        <f t="shared" si="538"/>
        <v>0</v>
      </c>
      <c r="AD42" s="1307">
        <f t="shared" si="538"/>
        <v>0</v>
      </c>
      <c r="AE42" s="1307">
        <f t="shared" ref="AE42:AF42" si="540">AE13+AE14+AE15+AE16</f>
        <v>0</v>
      </c>
      <c r="AF42" s="1307">
        <f t="shared" si="540"/>
        <v>0</v>
      </c>
      <c r="AG42" s="1307">
        <f t="shared" si="538"/>
        <v>0</v>
      </c>
      <c r="AH42" s="1307">
        <f t="shared" si="538"/>
        <v>0</v>
      </c>
      <c r="AI42" s="1307">
        <f t="shared" si="538"/>
        <v>0</v>
      </c>
      <c r="AJ42" s="1307">
        <f t="shared" si="538"/>
        <v>0</v>
      </c>
      <c r="AK42" s="1307">
        <f t="shared" si="538"/>
        <v>0</v>
      </c>
      <c r="AL42" s="1307">
        <f t="shared" si="538"/>
        <v>0</v>
      </c>
      <c r="AM42" s="1307">
        <f t="shared" si="538"/>
        <v>0</v>
      </c>
      <c r="AN42" s="1307">
        <f t="shared" si="538"/>
        <v>1978306052.2500002</v>
      </c>
      <c r="AO42" s="1307">
        <f t="shared" si="538"/>
        <v>474390814.74000001</v>
      </c>
      <c r="AP42" s="1307">
        <f t="shared" si="538"/>
        <v>143598660.94999999</v>
      </c>
      <c r="AQ42" s="1307">
        <f t="shared" si="538"/>
        <v>143598660.94999999</v>
      </c>
      <c r="AR42" s="1307">
        <f t="shared" si="538"/>
        <v>0</v>
      </c>
      <c r="AS42" s="1307">
        <f t="shared" si="538"/>
        <v>6603000</v>
      </c>
      <c r="AT42" s="1307">
        <f t="shared" si="538"/>
        <v>6603000</v>
      </c>
      <c r="AU42" s="1307">
        <f t="shared" si="538"/>
        <v>0</v>
      </c>
      <c r="AV42" s="1307">
        <f t="shared" si="538"/>
        <v>0</v>
      </c>
      <c r="AW42" s="1307">
        <f t="shared" si="538"/>
        <v>0</v>
      </c>
      <c r="AX42" s="1307">
        <f t="shared" si="538"/>
        <v>0</v>
      </c>
      <c r="AY42" s="1307">
        <f t="shared" si="538"/>
        <v>0</v>
      </c>
      <c r="AZ42" s="1307">
        <f t="shared" si="538"/>
        <v>0</v>
      </c>
      <c r="BA42" s="1307">
        <f t="shared" si="538"/>
        <v>0</v>
      </c>
      <c r="BB42" s="1307">
        <f t="shared" si="538"/>
        <v>0</v>
      </c>
      <c r="BC42" s="1307">
        <f t="shared" si="538"/>
        <v>0</v>
      </c>
      <c r="BD42" s="1307">
        <f t="shared" si="538"/>
        <v>0</v>
      </c>
      <c r="BE42" s="1307">
        <f t="shared" si="538"/>
        <v>0</v>
      </c>
      <c r="BF42" s="1307">
        <f t="shared" si="538"/>
        <v>0</v>
      </c>
      <c r="BG42" s="1307">
        <f t="shared" si="538"/>
        <v>0</v>
      </c>
      <c r="BH42" s="1307">
        <f t="shared" si="538"/>
        <v>0</v>
      </c>
      <c r="BI42" s="1307">
        <f t="shared" si="538"/>
        <v>0</v>
      </c>
      <c r="BJ42" s="1307">
        <f t="shared" si="538"/>
        <v>0</v>
      </c>
      <c r="BK42" s="1307">
        <f t="shared" si="538"/>
        <v>0</v>
      </c>
      <c r="BL42" s="1307">
        <f t="shared" si="538"/>
        <v>0</v>
      </c>
      <c r="BM42" s="1307">
        <f t="shared" si="538"/>
        <v>0</v>
      </c>
      <c r="BN42" s="1307">
        <f t="shared" si="538"/>
        <v>0</v>
      </c>
      <c r="BO42" s="1307">
        <f t="shared" si="538"/>
        <v>0</v>
      </c>
      <c r="BP42" s="1307">
        <f t="shared" si="538"/>
        <v>0</v>
      </c>
      <c r="BQ42" s="1307">
        <f t="shared" si="538"/>
        <v>0</v>
      </c>
      <c r="BR42" s="1307">
        <f t="shared" si="538"/>
        <v>0</v>
      </c>
      <c r="BS42" s="1307">
        <f t="shared" ref="BS42:ED42" si="541">BS13+BS14+BS15+BS16</f>
        <v>0</v>
      </c>
      <c r="BT42" s="1307">
        <f t="shared" si="541"/>
        <v>0</v>
      </c>
      <c r="BU42" s="1307">
        <f t="shared" si="541"/>
        <v>0</v>
      </c>
      <c r="BV42" s="1307">
        <f t="shared" si="541"/>
        <v>0</v>
      </c>
      <c r="BW42" s="1307">
        <f t="shared" si="541"/>
        <v>0</v>
      </c>
      <c r="BX42" s="1307">
        <f t="shared" si="541"/>
        <v>0</v>
      </c>
      <c r="BY42" s="1307">
        <f t="shared" si="541"/>
        <v>0</v>
      </c>
      <c r="BZ42" s="1307">
        <f t="shared" si="541"/>
        <v>0</v>
      </c>
      <c r="CA42" s="1307">
        <f t="shared" si="541"/>
        <v>0</v>
      </c>
      <c r="CB42" s="1307">
        <f t="shared" si="541"/>
        <v>208751660.94999999</v>
      </c>
      <c r="CC42" s="1307">
        <f t="shared" si="541"/>
        <v>143598660.94999999</v>
      </c>
      <c r="CD42" s="1307">
        <f t="shared" si="541"/>
        <v>65153000</v>
      </c>
      <c r="CE42" s="1307">
        <f t="shared" si="541"/>
        <v>0</v>
      </c>
      <c r="CF42" s="1307">
        <f t="shared" si="541"/>
        <v>0</v>
      </c>
      <c r="CG42" s="1307">
        <f t="shared" si="541"/>
        <v>0</v>
      </c>
      <c r="CH42" s="1307">
        <f t="shared" si="541"/>
        <v>0</v>
      </c>
      <c r="CI42" s="1307">
        <f t="shared" si="541"/>
        <v>0</v>
      </c>
      <c r="CJ42" s="1307">
        <f t="shared" si="541"/>
        <v>0</v>
      </c>
      <c r="CK42" s="1307">
        <f t="shared" si="541"/>
        <v>0</v>
      </c>
      <c r="CL42" s="1307">
        <f t="shared" si="541"/>
        <v>0</v>
      </c>
      <c r="CM42" s="1307">
        <f t="shared" si="541"/>
        <v>0</v>
      </c>
      <c r="CN42" s="1307">
        <f t="shared" si="541"/>
        <v>0</v>
      </c>
      <c r="CO42" s="1307">
        <f t="shared" si="541"/>
        <v>0</v>
      </c>
      <c r="CP42" s="1307">
        <f t="shared" si="541"/>
        <v>39374972.289999999</v>
      </c>
      <c r="CQ42" s="1307">
        <f t="shared" si="541"/>
        <v>0</v>
      </c>
      <c r="CR42" s="1307">
        <f t="shared" si="541"/>
        <v>39374972.289999999</v>
      </c>
      <c r="CS42" s="1307">
        <f t="shared" si="541"/>
        <v>0</v>
      </c>
      <c r="CT42" s="1307">
        <f t="shared" si="541"/>
        <v>0</v>
      </c>
      <c r="CU42" s="1307">
        <f t="shared" si="541"/>
        <v>0</v>
      </c>
      <c r="CV42" s="1307">
        <f t="shared" si="541"/>
        <v>6726687.7300000004</v>
      </c>
      <c r="CW42" s="1307">
        <f t="shared" si="541"/>
        <v>0</v>
      </c>
      <c r="CX42" s="1307">
        <f t="shared" si="541"/>
        <v>0</v>
      </c>
      <c r="CY42" s="1307">
        <f t="shared" si="541"/>
        <v>0</v>
      </c>
      <c r="CZ42" s="1307">
        <f t="shared" si="541"/>
        <v>0</v>
      </c>
      <c r="DA42" s="1307">
        <f t="shared" si="541"/>
        <v>6726687.7300000004</v>
      </c>
      <c r="DB42" s="1307">
        <f t="shared" si="541"/>
        <v>0</v>
      </c>
      <c r="DC42" s="1307">
        <f t="shared" si="541"/>
        <v>0</v>
      </c>
      <c r="DD42" s="1307">
        <f t="shared" si="541"/>
        <v>0</v>
      </c>
      <c r="DE42" s="1307">
        <f t="shared" si="541"/>
        <v>0</v>
      </c>
      <c r="DF42" s="1307">
        <f t="shared" si="541"/>
        <v>0</v>
      </c>
      <c r="DG42" s="1307">
        <f t="shared" si="541"/>
        <v>0</v>
      </c>
      <c r="DH42" s="1307">
        <f t="shared" si="541"/>
        <v>0</v>
      </c>
      <c r="DI42" s="1307">
        <f t="shared" si="541"/>
        <v>0</v>
      </c>
      <c r="DJ42" s="1307">
        <f t="shared" si="541"/>
        <v>0</v>
      </c>
      <c r="DK42" s="1307">
        <f t="shared" si="541"/>
        <v>0</v>
      </c>
      <c r="DL42" s="1307">
        <f t="shared" si="541"/>
        <v>0</v>
      </c>
      <c r="DM42" s="1307">
        <f t="shared" si="541"/>
        <v>0</v>
      </c>
      <c r="DN42" s="1307">
        <f t="shared" si="541"/>
        <v>0</v>
      </c>
      <c r="DO42" s="1307">
        <f t="shared" si="541"/>
        <v>0</v>
      </c>
      <c r="DP42" s="1307">
        <f t="shared" si="541"/>
        <v>0</v>
      </c>
      <c r="DQ42" s="1307">
        <f t="shared" si="541"/>
        <v>0</v>
      </c>
      <c r="DR42" s="1307">
        <f t="shared" si="541"/>
        <v>0</v>
      </c>
      <c r="DS42" s="1307">
        <f t="shared" si="541"/>
        <v>0</v>
      </c>
      <c r="DT42" s="1307">
        <f t="shared" si="541"/>
        <v>0</v>
      </c>
      <c r="DU42" s="1307">
        <f t="shared" si="541"/>
        <v>0</v>
      </c>
      <c r="DV42" s="1307">
        <f t="shared" si="541"/>
        <v>0</v>
      </c>
      <c r="DW42" s="1307">
        <f t="shared" si="541"/>
        <v>0</v>
      </c>
      <c r="DX42" s="1307">
        <f t="shared" si="541"/>
        <v>0</v>
      </c>
      <c r="DY42" s="1307">
        <f t="shared" si="541"/>
        <v>0</v>
      </c>
      <c r="DZ42" s="1307">
        <f t="shared" si="541"/>
        <v>0</v>
      </c>
      <c r="EA42" s="1307">
        <f t="shared" si="541"/>
        <v>0</v>
      </c>
      <c r="EB42" s="1307">
        <f t="shared" si="541"/>
        <v>0</v>
      </c>
      <c r="EC42" s="1307">
        <f t="shared" si="541"/>
        <v>0</v>
      </c>
      <c r="ED42" s="1307">
        <f t="shared" si="541"/>
        <v>0</v>
      </c>
      <c r="EE42" s="1307">
        <f t="shared" ref="EE42:GP42" si="542">EE13+EE14+EE15+EE16</f>
        <v>0</v>
      </c>
      <c r="EF42" s="1307">
        <f t="shared" si="542"/>
        <v>0</v>
      </c>
      <c r="EG42" s="1307">
        <f t="shared" si="542"/>
        <v>0</v>
      </c>
      <c r="EH42" s="1307">
        <f t="shared" si="542"/>
        <v>0</v>
      </c>
      <c r="EI42" s="1307">
        <f t="shared" si="542"/>
        <v>0</v>
      </c>
      <c r="EJ42" s="1307">
        <f t="shared" si="542"/>
        <v>0</v>
      </c>
      <c r="EK42" s="1307">
        <f t="shared" si="542"/>
        <v>0</v>
      </c>
      <c r="EL42" s="1307">
        <f t="shared" si="542"/>
        <v>0</v>
      </c>
      <c r="EM42" s="1307">
        <f t="shared" si="542"/>
        <v>0</v>
      </c>
      <c r="EN42" s="1307">
        <f t="shared" si="542"/>
        <v>0</v>
      </c>
      <c r="EO42" s="1307">
        <f t="shared" si="542"/>
        <v>0</v>
      </c>
      <c r="EP42" s="1307">
        <f t="shared" si="542"/>
        <v>0</v>
      </c>
      <c r="EQ42" s="1307">
        <f t="shared" si="542"/>
        <v>0</v>
      </c>
      <c r="ER42" s="1307">
        <f t="shared" si="542"/>
        <v>0</v>
      </c>
      <c r="ES42" s="1307">
        <f t="shared" si="542"/>
        <v>0</v>
      </c>
      <c r="ET42" s="1307">
        <f t="shared" si="542"/>
        <v>0</v>
      </c>
      <c r="EU42" s="1307">
        <f t="shared" si="542"/>
        <v>0</v>
      </c>
      <c r="EV42" s="1307">
        <f t="shared" si="542"/>
        <v>0</v>
      </c>
      <c r="EW42" s="1307">
        <f t="shared" si="542"/>
        <v>0</v>
      </c>
      <c r="EX42" s="1307">
        <f t="shared" si="542"/>
        <v>0</v>
      </c>
      <c r="EY42" s="1307">
        <f t="shared" si="542"/>
        <v>0</v>
      </c>
      <c r="EZ42" s="1307">
        <f t="shared" si="542"/>
        <v>0</v>
      </c>
      <c r="FA42" s="1307">
        <f t="shared" si="542"/>
        <v>0</v>
      </c>
      <c r="FB42" s="1307">
        <f t="shared" si="542"/>
        <v>2027026.14</v>
      </c>
      <c r="FC42" s="1307">
        <f t="shared" si="542"/>
        <v>529080.10999999987</v>
      </c>
      <c r="FD42" s="1307">
        <f t="shared" si="542"/>
        <v>1497946.03</v>
      </c>
      <c r="FE42" s="1307">
        <f t="shared" si="542"/>
        <v>0</v>
      </c>
      <c r="FF42" s="1307">
        <f t="shared" si="542"/>
        <v>0</v>
      </c>
      <c r="FG42" s="1307">
        <f t="shared" si="542"/>
        <v>0</v>
      </c>
      <c r="FH42" s="1307">
        <f t="shared" si="542"/>
        <v>0</v>
      </c>
      <c r="FI42" s="1307">
        <f t="shared" si="542"/>
        <v>0</v>
      </c>
      <c r="FJ42" s="1307">
        <f t="shared" si="542"/>
        <v>0</v>
      </c>
      <c r="FK42" s="1307">
        <f t="shared" si="542"/>
        <v>0</v>
      </c>
      <c r="FL42" s="1307">
        <f t="shared" si="542"/>
        <v>0</v>
      </c>
      <c r="FM42" s="1307">
        <f t="shared" si="542"/>
        <v>0</v>
      </c>
      <c r="FN42" s="1307">
        <f t="shared" si="542"/>
        <v>0</v>
      </c>
      <c r="FO42" s="1307">
        <f t="shared" si="542"/>
        <v>0</v>
      </c>
      <c r="FP42" s="1307">
        <f t="shared" si="542"/>
        <v>0</v>
      </c>
      <c r="FQ42" s="1307">
        <f t="shared" si="542"/>
        <v>0</v>
      </c>
      <c r="FR42" s="1307">
        <f t="shared" si="542"/>
        <v>0</v>
      </c>
      <c r="FS42" s="1307">
        <f t="shared" si="542"/>
        <v>0</v>
      </c>
      <c r="FT42" s="1307">
        <f t="shared" si="542"/>
        <v>0</v>
      </c>
      <c r="FU42" s="1307">
        <f t="shared" si="542"/>
        <v>0</v>
      </c>
      <c r="FV42" s="1307">
        <f t="shared" si="542"/>
        <v>0</v>
      </c>
      <c r="FW42" s="1307">
        <f t="shared" si="542"/>
        <v>0</v>
      </c>
      <c r="FX42" s="1307">
        <f t="shared" si="542"/>
        <v>0</v>
      </c>
      <c r="FY42" s="1307">
        <f t="shared" si="542"/>
        <v>0</v>
      </c>
      <c r="FZ42" s="1307">
        <f t="shared" si="542"/>
        <v>0</v>
      </c>
      <c r="GA42" s="1307">
        <f t="shared" si="542"/>
        <v>0</v>
      </c>
      <c r="GB42" s="1307">
        <f t="shared" si="542"/>
        <v>0</v>
      </c>
      <c r="GC42" s="1307">
        <f t="shared" si="542"/>
        <v>0</v>
      </c>
      <c r="GD42" s="1307">
        <f t="shared" si="542"/>
        <v>0</v>
      </c>
      <c r="GE42" s="1307">
        <f t="shared" si="542"/>
        <v>0</v>
      </c>
      <c r="GF42" s="1307">
        <f t="shared" si="542"/>
        <v>175996012.35999998</v>
      </c>
      <c r="GG42" s="1307">
        <f t="shared" si="542"/>
        <v>18908632.130000003</v>
      </c>
      <c r="GH42" s="1307">
        <f t="shared" si="542"/>
        <v>157087380.22999999</v>
      </c>
      <c r="GI42" s="1307">
        <f t="shared" si="542"/>
        <v>53185653.219999999</v>
      </c>
      <c r="GJ42" s="1307">
        <f t="shared" si="542"/>
        <v>2659293.25</v>
      </c>
      <c r="GK42" s="1307">
        <f t="shared" si="542"/>
        <v>50526359.969999999</v>
      </c>
      <c r="GL42" s="1307">
        <f t="shared" si="542"/>
        <v>0</v>
      </c>
      <c r="GM42" s="1307">
        <f t="shared" si="542"/>
        <v>0</v>
      </c>
      <c r="GN42" s="1307">
        <f t="shared" si="542"/>
        <v>0</v>
      </c>
      <c r="GO42" s="1307">
        <f t="shared" si="542"/>
        <v>0</v>
      </c>
      <c r="GP42" s="1307">
        <f t="shared" si="542"/>
        <v>0</v>
      </c>
      <c r="GQ42" s="1307">
        <f t="shared" ref="GQ42:JB42" si="543">GQ13+GQ14+GQ15+GQ16</f>
        <v>0</v>
      </c>
      <c r="GR42" s="1307">
        <f t="shared" si="543"/>
        <v>0</v>
      </c>
      <c r="GS42" s="1307">
        <f t="shared" si="543"/>
        <v>0</v>
      </c>
      <c r="GT42" s="1307">
        <f t="shared" si="543"/>
        <v>0</v>
      </c>
      <c r="GU42" s="1307">
        <f t="shared" si="543"/>
        <v>0</v>
      </c>
      <c r="GV42" s="1307">
        <f t="shared" si="543"/>
        <v>0</v>
      </c>
      <c r="GW42" s="1307">
        <f t="shared" si="543"/>
        <v>0</v>
      </c>
      <c r="GX42" s="1307">
        <f t="shared" si="543"/>
        <v>0</v>
      </c>
      <c r="GY42" s="1307">
        <f t="shared" si="543"/>
        <v>0</v>
      </c>
      <c r="GZ42" s="1307">
        <f t="shared" si="543"/>
        <v>0</v>
      </c>
      <c r="HA42" s="1307">
        <f t="shared" si="543"/>
        <v>0</v>
      </c>
      <c r="HB42" s="1307">
        <f t="shared" si="543"/>
        <v>0</v>
      </c>
      <c r="HC42" s="1307">
        <f t="shared" si="543"/>
        <v>0</v>
      </c>
      <c r="HD42" s="1307">
        <f t="shared" si="543"/>
        <v>0</v>
      </c>
      <c r="HE42" s="1307">
        <f t="shared" si="543"/>
        <v>0</v>
      </c>
      <c r="HF42" s="1307">
        <f t="shared" si="543"/>
        <v>0</v>
      </c>
      <c r="HG42" s="1307">
        <f t="shared" si="543"/>
        <v>0</v>
      </c>
      <c r="HH42" s="1307">
        <f t="shared" si="543"/>
        <v>0</v>
      </c>
      <c r="HI42" s="1307">
        <f t="shared" si="543"/>
        <v>0</v>
      </c>
      <c r="HJ42" s="1307">
        <f t="shared" si="543"/>
        <v>0</v>
      </c>
      <c r="HK42" s="1307">
        <f t="shared" si="543"/>
        <v>0</v>
      </c>
      <c r="HL42" s="1307">
        <f t="shared" si="543"/>
        <v>0</v>
      </c>
      <c r="HM42" s="1307">
        <f t="shared" si="543"/>
        <v>0</v>
      </c>
      <c r="HN42" s="1307">
        <f t="shared" si="543"/>
        <v>0</v>
      </c>
      <c r="HO42" s="1307">
        <f t="shared" si="543"/>
        <v>0</v>
      </c>
      <c r="HP42" s="1307">
        <f t="shared" si="543"/>
        <v>0</v>
      </c>
      <c r="HQ42" s="1307">
        <f t="shared" si="543"/>
        <v>0</v>
      </c>
      <c r="HR42" s="1307">
        <f t="shared" si="543"/>
        <v>0</v>
      </c>
      <c r="HS42" s="1307">
        <f t="shared" si="543"/>
        <v>0</v>
      </c>
      <c r="HT42" s="1307">
        <f t="shared" si="543"/>
        <v>0</v>
      </c>
      <c r="HU42" s="1307">
        <f t="shared" si="543"/>
        <v>0</v>
      </c>
      <c r="HV42" s="1307">
        <f t="shared" si="543"/>
        <v>0</v>
      </c>
      <c r="HW42" s="1307">
        <f t="shared" si="543"/>
        <v>0</v>
      </c>
      <c r="HX42" s="1307">
        <f t="shared" si="543"/>
        <v>0</v>
      </c>
      <c r="HY42" s="1307">
        <f t="shared" si="543"/>
        <v>0</v>
      </c>
      <c r="HZ42" s="1307">
        <f t="shared" si="543"/>
        <v>0</v>
      </c>
      <c r="IA42" s="1307">
        <f t="shared" si="543"/>
        <v>0</v>
      </c>
      <c r="IB42" s="1307">
        <f t="shared" si="543"/>
        <v>0</v>
      </c>
      <c r="IC42" s="1307">
        <f t="shared" si="543"/>
        <v>0</v>
      </c>
      <c r="ID42" s="1307">
        <f t="shared" si="543"/>
        <v>0</v>
      </c>
      <c r="IE42" s="1307">
        <f t="shared" si="543"/>
        <v>0</v>
      </c>
      <c r="IF42" s="1307">
        <f t="shared" si="543"/>
        <v>0</v>
      </c>
      <c r="IG42" s="1307">
        <f t="shared" si="543"/>
        <v>0</v>
      </c>
      <c r="IH42" s="1307">
        <f t="shared" si="543"/>
        <v>0</v>
      </c>
      <c r="II42" s="1307">
        <f t="shared" si="543"/>
        <v>0</v>
      </c>
      <c r="IJ42" s="1307">
        <f t="shared" si="543"/>
        <v>0</v>
      </c>
      <c r="IK42" s="1307">
        <f t="shared" si="543"/>
        <v>0</v>
      </c>
      <c r="IL42" s="1307">
        <f t="shared" si="543"/>
        <v>0</v>
      </c>
      <c r="IM42" s="1307">
        <f t="shared" si="543"/>
        <v>0</v>
      </c>
      <c r="IN42" s="1307">
        <f t="shared" si="543"/>
        <v>0</v>
      </c>
      <c r="IO42" s="1307">
        <f t="shared" si="543"/>
        <v>0</v>
      </c>
      <c r="IP42" s="1307">
        <f t="shared" si="543"/>
        <v>0</v>
      </c>
      <c r="IQ42" s="1307">
        <f t="shared" si="543"/>
        <v>0</v>
      </c>
      <c r="IR42" s="1307">
        <f t="shared" si="543"/>
        <v>0</v>
      </c>
      <c r="IS42" s="1307">
        <f t="shared" si="543"/>
        <v>0</v>
      </c>
      <c r="IT42" s="1307">
        <f t="shared" si="543"/>
        <v>0</v>
      </c>
      <c r="IU42" s="1307">
        <f t="shared" si="543"/>
        <v>0</v>
      </c>
      <c r="IV42" s="1307">
        <f t="shared" si="543"/>
        <v>0</v>
      </c>
      <c r="IW42" s="1307">
        <f t="shared" si="543"/>
        <v>0</v>
      </c>
      <c r="IX42" s="1307">
        <f t="shared" si="543"/>
        <v>0</v>
      </c>
      <c r="IY42" s="1307">
        <f t="shared" si="543"/>
        <v>0</v>
      </c>
      <c r="IZ42" s="1307">
        <f t="shared" si="543"/>
        <v>0</v>
      </c>
      <c r="JA42" s="1307">
        <f t="shared" si="543"/>
        <v>0</v>
      </c>
      <c r="JB42" s="1307">
        <f t="shared" si="543"/>
        <v>0</v>
      </c>
      <c r="JC42" s="1307">
        <f t="shared" ref="JC42:LN42" si="544">JC13+JC14+JC15+JC16</f>
        <v>0</v>
      </c>
      <c r="JD42" s="1307">
        <f t="shared" si="544"/>
        <v>0</v>
      </c>
      <c r="JE42" s="1307">
        <f t="shared" si="544"/>
        <v>0</v>
      </c>
      <c r="JF42" s="1307">
        <f t="shared" si="544"/>
        <v>0</v>
      </c>
      <c r="JG42" s="1307">
        <f t="shared" si="544"/>
        <v>0</v>
      </c>
      <c r="JH42" s="1307">
        <f t="shared" si="544"/>
        <v>0</v>
      </c>
      <c r="JI42" s="1307">
        <f t="shared" si="544"/>
        <v>0</v>
      </c>
      <c r="JJ42" s="1307">
        <f t="shared" si="544"/>
        <v>0</v>
      </c>
      <c r="JK42" s="1307">
        <f t="shared" si="544"/>
        <v>0</v>
      </c>
      <c r="JL42" s="1307">
        <f t="shared" si="544"/>
        <v>0</v>
      </c>
      <c r="JM42" s="1307">
        <f t="shared" si="544"/>
        <v>0</v>
      </c>
      <c r="JN42" s="1307">
        <f t="shared" si="544"/>
        <v>0</v>
      </c>
      <c r="JO42" s="1307">
        <f t="shared" si="544"/>
        <v>0</v>
      </c>
      <c r="JP42" s="1307">
        <f t="shared" si="544"/>
        <v>0</v>
      </c>
      <c r="JQ42" s="1307">
        <f t="shared" si="544"/>
        <v>0</v>
      </c>
      <c r="JR42" s="1307">
        <f t="shared" si="544"/>
        <v>0</v>
      </c>
      <c r="JS42" s="1307">
        <f t="shared" si="544"/>
        <v>0</v>
      </c>
      <c r="JT42" s="1307">
        <f t="shared" si="544"/>
        <v>0</v>
      </c>
      <c r="JU42" s="1307">
        <f t="shared" si="544"/>
        <v>0</v>
      </c>
      <c r="JV42" s="1307">
        <f t="shared" si="544"/>
        <v>0</v>
      </c>
      <c r="JW42" s="1307">
        <f t="shared" si="544"/>
        <v>0</v>
      </c>
      <c r="JX42" s="1307">
        <f t="shared" si="544"/>
        <v>0</v>
      </c>
      <c r="JY42" s="1307">
        <f t="shared" si="544"/>
        <v>0</v>
      </c>
      <c r="JZ42" s="1307">
        <f t="shared" si="544"/>
        <v>0</v>
      </c>
      <c r="KA42" s="1307">
        <f t="shared" si="544"/>
        <v>0</v>
      </c>
      <c r="KB42" s="1307">
        <f t="shared" si="544"/>
        <v>0</v>
      </c>
      <c r="KC42" s="1307">
        <f t="shared" si="544"/>
        <v>0</v>
      </c>
      <c r="KD42" s="1307">
        <f t="shared" si="544"/>
        <v>-789961.17999999993</v>
      </c>
      <c r="KE42" s="1307">
        <f t="shared" si="544"/>
        <v>-205389.90999999997</v>
      </c>
      <c r="KF42" s="1307">
        <f t="shared" si="544"/>
        <v>-584571.27</v>
      </c>
      <c r="KG42" s="1307">
        <f t="shared" si="544"/>
        <v>0</v>
      </c>
      <c r="KH42" s="1307">
        <f t="shared" si="544"/>
        <v>0</v>
      </c>
      <c r="KI42" s="1307">
        <f t="shared" si="544"/>
        <v>0</v>
      </c>
      <c r="KJ42" s="1307">
        <f t="shared" si="544"/>
        <v>789961.17999999993</v>
      </c>
      <c r="KK42" s="1307">
        <f t="shared" si="544"/>
        <v>205389.90999999997</v>
      </c>
      <c r="KL42" s="1307">
        <f t="shared" si="544"/>
        <v>584571.27</v>
      </c>
      <c r="KM42" s="1307">
        <f t="shared" si="544"/>
        <v>0</v>
      </c>
      <c r="KN42" s="1307">
        <f t="shared" si="544"/>
        <v>0</v>
      </c>
      <c r="KO42" s="1307">
        <f t="shared" si="544"/>
        <v>0</v>
      </c>
      <c r="KP42" s="1307">
        <f t="shared" si="544"/>
        <v>6439703.6000000006</v>
      </c>
      <c r="KQ42" s="1307">
        <f t="shared" si="544"/>
        <v>3716550</v>
      </c>
      <c r="KR42" s="1307">
        <f t="shared" si="544"/>
        <v>2123443.6</v>
      </c>
      <c r="KS42" s="1307">
        <f t="shared" si="544"/>
        <v>218023.18</v>
      </c>
      <c r="KT42" s="1307">
        <f t="shared" si="544"/>
        <v>381686.82</v>
      </c>
      <c r="KU42" s="1307">
        <f t="shared" si="544"/>
        <v>0</v>
      </c>
      <c r="KV42" s="1307">
        <f t="shared" si="544"/>
        <v>0</v>
      </c>
      <c r="KW42" s="1307">
        <f t="shared" si="544"/>
        <v>0</v>
      </c>
      <c r="KX42" s="1307">
        <f t="shared" si="544"/>
        <v>0</v>
      </c>
      <c r="KY42" s="1307">
        <f t="shared" si="544"/>
        <v>0</v>
      </c>
      <c r="KZ42" s="1307">
        <f t="shared" si="544"/>
        <v>268970</v>
      </c>
      <c r="LA42" s="1307">
        <f t="shared" si="544"/>
        <v>268970</v>
      </c>
      <c r="LB42" s="1307">
        <f t="shared" si="544"/>
        <v>0</v>
      </c>
      <c r="LC42" s="1307">
        <f t="shared" si="544"/>
        <v>0</v>
      </c>
      <c r="LD42" s="1307">
        <f t="shared" si="544"/>
        <v>0</v>
      </c>
      <c r="LE42" s="1307">
        <f t="shared" si="544"/>
        <v>0</v>
      </c>
      <c r="LF42" s="1307">
        <f t="shared" si="544"/>
        <v>0</v>
      </c>
      <c r="LG42" s="1307">
        <f t="shared" si="544"/>
        <v>0</v>
      </c>
      <c r="LH42" s="1307">
        <f t="shared" si="544"/>
        <v>0</v>
      </c>
      <c r="LI42" s="1307">
        <f t="shared" si="544"/>
        <v>0</v>
      </c>
      <c r="LJ42" s="1307">
        <f t="shared" si="544"/>
        <v>-61770</v>
      </c>
      <c r="LK42" s="1307">
        <f t="shared" si="544"/>
        <v>-61770</v>
      </c>
      <c r="LL42" s="1307">
        <f t="shared" si="544"/>
        <v>0</v>
      </c>
      <c r="LM42" s="1307">
        <f t="shared" si="544"/>
        <v>0</v>
      </c>
      <c r="LN42" s="1307">
        <f t="shared" si="544"/>
        <v>0</v>
      </c>
      <c r="LO42" s="1307">
        <f t="shared" ref="LO42:NZ42" si="545">LO13+LO14+LO15+LO16</f>
        <v>0</v>
      </c>
      <c r="LP42" s="1307">
        <f t="shared" si="545"/>
        <v>330740</v>
      </c>
      <c r="LQ42" s="1307">
        <f t="shared" si="545"/>
        <v>330740</v>
      </c>
      <c r="LR42" s="1307">
        <f t="shared" si="545"/>
        <v>0</v>
      </c>
      <c r="LS42" s="1307">
        <f t="shared" si="545"/>
        <v>0</v>
      </c>
      <c r="LT42" s="1307">
        <f t="shared" si="545"/>
        <v>0</v>
      </c>
      <c r="LU42" s="1307">
        <f t="shared" si="545"/>
        <v>0</v>
      </c>
      <c r="LV42" s="1307">
        <f t="shared" si="545"/>
        <v>7973513.5099999998</v>
      </c>
      <c r="LW42" s="1307">
        <f t="shared" si="545"/>
        <v>0</v>
      </c>
      <c r="LX42" s="1307">
        <f t="shared" si="545"/>
        <v>2073113.5099999998</v>
      </c>
      <c r="LY42" s="1307">
        <f t="shared" si="545"/>
        <v>5900400</v>
      </c>
      <c r="LZ42" s="1307">
        <f t="shared" si="545"/>
        <v>0</v>
      </c>
      <c r="MA42" s="1307">
        <f t="shared" si="545"/>
        <v>0</v>
      </c>
      <c r="MB42" s="1307">
        <f t="shared" si="545"/>
        <v>0</v>
      </c>
      <c r="MC42" s="1307">
        <f t="shared" si="545"/>
        <v>0</v>
      </c>
      <c r="MD42" s="1307">
        <f t="shared" si="545"/>
        <v>0</v>
      </c>
      <c r="ME42" s="1307">
        <f t="shared" si="545"/>
        <v>0</v>
      </c>
      <c r="MF42" s="1307">
        <f t="shared" si="545"/>
        <v>0</v>
      </c>
      <c r="MG42" s="1307">
        <f t="shared" si="545"/>
        <v>0</v>
      </c>
      <c r="MH42" s="1307">
        <f t="shared" si="545"/>
        <v>0</v>
      </c>
      <c r="MI42" s="1307">
        <f t="shared" si="545"/>
        <v>0</v>
      </c>
      <c r="MJ42" s="1307">
        <f t="shared" si="545"/>
        <v>0</v>
      </c>
      <c r="MK42" s="1307">
        <f t="shared" si="545"/>
        <v>0</v>
      </c>
      <c r="ML42" s="1307">
        <f t="shared" si="545"/>
        <v>0</v>
      </c>
      <c r="MM42" s="1307">
        <f t="shared" si="545"/>
        <v>0</v>
      </c>
      <c r="MN42" s="1307">
        <f t="shared" si="545"/>
        <v>0</v>
      </c>
      <c r="MO42" s="1307">
        <f t="shared" si="545"/>
        <v>0</v>
      </c>
      <c r="MP42" s="1307">
        <f t="shared" si="545"/>
        <v>0</v>
      </c>
      <c r="MQ42" s="1307">
        <f t="shared" si="545"/>
        <v>0</v>
      </c>
      <c r="MR42" s="1307">
        <f t="shared" si="545"/>
        <v>0</v>
      </c>
      <c r="MS42" s="1307">
        <f t="shared" si="545"/>
        <v>0</v>
      </c>
      <c r="MT42" s="1307">
        <f t="shared" si="545"/>
        <v>0</v>
      </c>
      <c r="MU42" s="1307">
        <f t="shared" si="545"/>
        <v>0</v>
      </c>
      <c r="MV42" s="1307">
        <f t="shared" si="545"/>
        <v>0</v>
      </c>
      <c r="MW42" s="1307">
        <f t="shared" si="545"/>
        <v>0</v>
      </c>
      <c r="MX42" s="1307">
        <f t="shared" si="545"/>
        <v>0</v>
      </c>
      <c r="MY42" s="1307">
        <f t="shared" si="545"/>
        <v>0</v>
      </c>
      <c r="MZ42" s="1307">
        <f t="shared" si="545"/>
        <v>0</v>
      </c>
      <c r="NA42" s="1307">
        <f t="shared" si="545"/>
        <v>0</v>
      </c>
      <c r="NB42" s="1307">
        <f t="shared" si="545"/>
        <v>789961.17999999993</v>
      </c>
      <c r="NC42" s="1307">
        <f t="shared" si="545"/>
        <v>0</v>
      </c>
      <c r="ND42" s="1307">
        <f t="shared" si="545"/>
        <v>0</v>
      </c>
      <c r="NE42" s="1307">
        <f t="shared" si="545"/>
        <v>0</v>
      </c>
      <c r="NF42" s="1307">
        <f t="shared" si="545"/>
        <v>0</v>
      </c>
      <c r="NG42" s="1307">
        <f t="shared" si="545"/>
        <v>0</v>
      </c>
      <c r="NH42" s="1307">
        <f t="shared" si="545"/>
        <v>205389.90999999997</v>
      </c>
      <c r="NI42" s="1307">
        <f t="shared" si="545"/>
        <v>584571.27</v>
      </c>
      <c r="NJ42" s="1307">
        <f t="shared" si="545"/>
        <v>629816.81999999995</v>
      </c>
      <c r="NK42" s="1307">
        <f t="shared" si="545"/>
        <v>0</v>
      </c>
      <c r="NL42" s="1307">
        <f t="shared" si="545"/>
        <v>0</v>
      </c>
      <c r="NM42" s="1307">
        <f t="shared" si="545"/>
        <v>0</v>
      </c>
      <c r="NN42" s="1307">
        <f t="shared" si="545"/>
        <v>0</v>
      </c>
      <c r="NO42" s="1307">
        <f t="shared" si="545"/>
        <v>0</v>
      </c>
      <c r="NP42" s="1307">
        <f t="shared" si="545"/>
        <v>163752.38</v>
      </c>
      <c r="NQ42" s="1307">
        <f t="shared" si="545"/>
        <v>466064.43999999994</v>
      </c>
      <c r="NR42" s="1307">
        <f t="shared" si="545"/>
        <v>0</v>
      </c>
      <c r="NS42" s="1307">
        <f t="shared" si="545"/>
        <v>0</v>
      </c>
      <c r="NT42" s="1307">
        <f t="shared" si="545"/>
        <v>0</v>
      </c>
      <c r="NU42" s="1307">
        <f t="shared" si="545"/>
        <v>0</v>
      </c>
      <c r="NV42" s="1307">
        <f t="shared" si="545"/>
        <v>0</v>
      </c>
      <c r="NW42" s="1307">
        <f t="shared" si="545"/>
        <v>0</v>
      </c>
      <c r="NX42" s="1307">
        <f t="shared" si="545"/>
        <v>0</v>
      </c>
      <c r="NY42" s="1307">
        <f t="shared" si="545"/>
        <v>0</v>
      </c>
      <c r="NZ42" s="1307">
        <f t="shared" si="545"/>
        <v>0</v>
      </c>
      <c r="OA42" s="1307">
        <f t="shared" ref="OA42:QP42" si="546">OA13+OA14+OA15+OA16</f>
        <v>0</v>
      </c>
      <c r="OB42" s="1307">
        <f t="shared" si="546"/>
        <v>0</v>
      </c>
      <c r="OC42" s="1307">
        <f t="shared" si="546"/>
        <v>0</v>
      </c>
      <c r="OD42" s="1307">
        <f t="shared" si="546"/>
        <v>0</v>
      </c>
      <c r="OE42" s="1307">
        <f t="shared" si="546"/>
        <v>0</v>
      </c>
      <c r="OF42" s="1307">
        <f t="shared" si="546"/>
        <v>0</v>
      </c>
      <c r="OG42" s="1307">
        <f t="shared" si="546"/>
        <v>0</v>
      </c>
      <c r="OH42" s="1307">
        <f t="shared" si="546"/>
        <v>0</v>
      </c>
      <c r="OI42" s="1307">
        <f t="shared" si="546"/>
        <v>0</v>
      </c>
      <c r="OJ42" s="1307">
        <f t="shared" si="546"/>
        <v>0</v>
      </c>
      <c r="OK42" s="1307">
        <f t="shared" si="546"/>
        <v>0</v>
      </c>
      <c r="OL42" s="1307">
        <f t="shared" si="546"/>
        <v>0</v>
      </c>
      <c r="OM42" s="1307">
        <f t="shared" si="546"/>
        <v>0</v>
      </c>
      <c r="ON42" s="1307">
        <f t="shared" si="546"/>
        <v>0</v>
      </c>
      <c r="OO42" s="1307">
        <f t="shared" si="546"/>
        <v>0</v>
      </c>
      <c r="OP42" s="1307">
        <f t="shared" si="546"/>
        <v>0</v>
      </c>
      <c r="OQ42" s="1307">
        <f t="shared" si="546"/>
        <v>0</v>
      </c>
      <c r="OR42" s="1307">
        <f t="shared" si="546"/>
        <v>20000000</v>
      </c>
      <c r="OS42" s="1307">
        <f t="shared" si="546"/>
        <v>0</v>
      </c>
      <c r="OT42" s="1307">
        <f t="shared" si="546"/>
        <v>0</v>
      </c>
      <c r="OU42" s="1307">
        <f t="shared" si="546"/>
        <v>20000000</v>
      </c>
      <c r="OV42" s="1307">
        <f t="shared" si="546"/>
        <v>7399606.71</v>
      </c>
      <c r="OW42" s="1307">
        <f t="shared" si="546"/>
        <v>0</v>
      </c>
      <c r="OX42" s="1307">
        <f t="shared" si="546"/>
        <v>0</v>
      </c>
      <c r="OY42" s="1307">
        <f t="shared" si="546"/>
        <v>7399606.71</v>
      </c>
      <c r="OZ42" s="1307">
        <f t="shared" si="546"/>
        <v>0</v>
      </c>
      <c r="PA42" s="1307">
        <f t="shared" si="546"/>
        <v>0</v>
      </c>
      <c r="PB42" s="1307">
        <f t="shared" si="546"/>
        <v>0</v>
      </c>
      <c r="PC42" s="1307">
        <f t="shared" si="546"/>
        <v>0</v>
      </c>
      <c r="PD42" s="1307">
        <f t="shared" si="546"/>
        <v>0</v>
      </c>
      <c r="PE42" s="1307">
        <f t="shared" si="546"/>
        <v>0</v>
      </c>
      <c r="PF42" s="1307">
        <f t="shared" si="546"/>
        <v>0</v>
      </c>
      <c r="PG42" s="1307">
        <f t="shared" si="546"/>
        <v>0</v>
      </c>
      <c r="PH42" s="1307">
        <f t="shared" si="546"/>
        <v>-5000000</v>
      </c>
      <c r="PI42" s="1307">
        <f t="shared" si="546"/>
        <v>-5000000</v>
      </c>
      <c r="PJ42" s="1307">
        <f t="shared" si="546"/>
        <v>0</v>
      </c>
      <c r="PK42" s="1307">
        <f t="shared" si="546"/>
        <v>0</v>
      </c>
      <c r="PL42" s="1307">
        <f t="shared" si="546"/>
        <v>0</v>
      </c>
      <c r="PM42" s="1307">
        <f t="shared" si="546"/>
        <v>0</v>
      </c>
      <c r="PN42" s="1307">
        <f t="shared" si="546"/>
        <v>0</v>
      </c>
      <c r="PO42" s="1307">
        <f t="shared" si="546"/>
        <v>0</v>
      </c>
      <c r="PP42" s="1307">
        <f t="shared" si="546"/>
        <v>5000000</v>
      </c>
      <c r="PQ42" s="1307">
        <f t="shared" si="546"/>
        <v>5000000</v>
      </c>
      <c r="PR42" s="1307">
        <f t="shared" si="546"/>
        <v>0</v>
      </c>
      <c r="PS42" s="1307">
        <f t="shared" si="546"/>
        <v>0</v>
      </c>
      <c r="PT42" s="1307">
        <f t="shared" si="546"/>
        <v>0</v>
      </c>
      <c r="PU42" s="1307">
        <f t="shared" si="546"/>
        <v>0</v>
      </c>
      <c r="PV42" s="1307">
        <f t="shared" si="546"/>
        <v>0</v>
      </c>
      <c r="PW42" s="1307">
        <f t="shared" si="546"/>
        <v>0</v>
      </c>
      <c r="PX42" s="1307">
        <f t="shared" si="546"/>
        <v>171852053.88</v>
      </c>
      <c r="PY42" s="1307">
        <f t="shared" si="546"/>
        <v>152102.69</v>
      </c>
      <c r="PZ42" s="1307">
        <f t="shared" si="546"/>
        <v>2889951.19</v>
      </c>
      <c r="QA42" s="1307">
        <f t="shared" ref="QA42:QG42" si="547">QA13+QA14+QA15+QA16</f>
        <v>8440500</v>
      </c>
      <c r="QB42" s="1307">
        <f t="shared" si="547"/>
        <v>160369500</v>
      </c>
      <c r="QC42" s="1307">
        <f t="shared" si="547"/>
        <v>39922412.100000001</v>
      </c>
      <c r="QD42" s="1307">
        <f t="shared" si="547"/>
        <v>0</v>
      </c>
      <c r="QE42" s="1307">
        <f t="shared" si="547"/>
        <v>0</v>
      </c>
      <c r="QF42" s="1307">
        <f t="shared" si="547"/>
        <v>1996120.61</v>
      </c>
      <c r="QG42" s="1307">
        <f t="shared" si="547"/>
        <v>37926291.490000002</v>
      </c>
      <c r="QH42" s="1307">
        <f t="shared" si="546"/>
        <v>0</v>
      </c>
      <c r="QI42" s="1307">
        <f t="shared" si="546"/>
        <v>0</v>
      </c>
      <c r="QJ42" s="1307">
        <f t="shared" si="546"/>
        <v>0</v>
      </c>
      <c r="QK42" s="1307">
        <f t="shared" si="546"/>
        <v>0</v>
      </c>
      <c r="QL42" s="1307">
        <f t="shared" si="546"/>
        <v>0</v>
      </c>
      <c r="QM42" s="1307">
        <f t="shared" si="546"/>
        <v>0</v>
      </c>
      <c r="QN42" s="1307">
        <f t="shared" si="546"/>
        <v>0</v>
      </c>
      <c r="QO42" s="1307">
        <f t="shared" si="546"/>
        <v>0</v>
      </c>
      <c r="QP42" s="1307">
        <f t="shared" si="546"/>
        <v>0</v>
      </c>
      <c r="QQ42" s="1307">
        <f t="shared" ref="QQ42:TB42" si="548">QQ13+QQ14+QQ15+QQ16</f>
        <v>0</v>
      </c>
      <c r="QR42" s="1307">
        <f t="shared" si="548"/>
        <v>0</v>
      </c>
      <c r="QS42" s="1307">
        <f t="shared" si="548"/>
        <v>0</v>
      </c>
      <c r="QT42" s="1307">
        <f t="shared" si="548"/>
        <v>0</v>
      </c>
      <c r="QU42" s="1307">
        <f t="shared" si="548"/>
        <v>0</v>
      </c>
      <c r="QV42" s="1307">
        <f t="shared" si="548"/>
        <v>0</v>
      </c>
      <c r="QW42" s="1307">
        <f t="shared" si="548"/>
        <v>0</v>
      </c>
      <c r="QX42" s="1307">
        <f t="shared" si="548"/>
        <v>0</v>
      </c>
      <c r="QY42" s="1307">
        <f t="shared" si="548"/>
        <v>0</v>
      </c>
      <c r="QZ42" s="1307">
        <f t="shared" si="548"/>
        <v>0</v>
      </c>
      <c r="RA42" s="1307">
        <f t="shared" si="548"/>
        <v>0</v>
      </c>
      <c r="RB42" s="1307">
        <f t="shared" si="548"/>
        <v>0</v>
      </c>
      <c r="RC42" s="1307">
        <f t="shared" si="548"/>
        <v>0</v>
      </c>
      <c r="RD42" s="1307">
        <f t="shared" si="548"/>
        <v>0</v>
      </c>
      <c r="RE42" s="1307">
        <f t="shared" si="548"/>
        <v>0</v>
      </c>
      <c r="RF42" s="1307">
        <f t="shared" si="548"/>
        <v>0</v>
      </c>
      <c r="RG42" s="1307">
        <f t="shared" si="548"/>
        <v>0</v>
      </c>
      <c r="RH42" s="1307">
        <f t="shared" si="548"/>
        <v>0</v>
      </c>
      <c r="RI42" s="1307">
        <f t="shared" si="548"/>
        <v>0</v>
      </c>
      <c r="RJ42" s="1307">
        <f t="shared" si="548"/>
        <v>0</v>
      </c>
      <c r="RK42" s="1307">
        <f t="shared" si="548"/>
        <v>0</v>
      </c>
      <c r="RL42" s="1307">
        <f t="shared" si="548"/>
        <v>0</v>
      </c>
      <c r="RM42" s="1307">
        <f t="shared" si="548"/>
        <v>0</v>
      </c>
      <c r="RN42" s="1307">
        <f t="shared" si="548"/>
        <v>0</v>
      </c>
      <c r="RO42" s="1307">
        <f t="shared" si="548"/>
        <v>0</v>
      </c>
      <c r="RP42" s="1307">
        <f t="shared" si="548"/>
        <v>0</v>
      </c>
      <c r="RQ42" s="1307">
        <f t="shared" si="548"/>
        <v>0</v>
      </c>
      <c r="RR42" s="1307">
        <f t="shared" si="548"/>
        <v>0</v>
      </c>
      <c r="RS42" s="1307">
        <f t="shared" si="548"/>
        <v>0</v>
      </c>
      <c r="RT42" s="1307">
        <f t="shared" si="548"/>
        <v>0</v>
      </c>
      <c r="RU42" s="1307">
        <f t="shared" si="548"/>
        <v>0</v>
      </c>
      <c r="RV42" s="1307">
        <f t="shared" si="548"/>
        <v>0</v>
      </c>
      <c r="RW42" s="1307">
        <f t="shared" si="548"/>
        <v>0</v>
      </c>
      <c r="RX42" s="1307">
        <f t="shared" si="548"/>
        <v>0</v>
      </c>
      <c r="RY42" s="1307">
        <f t="shared" si="548"/>
        <v>0</v>
      </c>
      <c r="RZ42" s="1307">
        <f t="shared" si="548"/>
        <v>0</v>
      </c>
      <c r="SA42" s="1307">
        <f t="shared" si="548"/>
        <v>0</v>
      </c>
      <c r="SB42" s="1307">
        <f t="shared" si="548"/>
        <v>0</v>
      </c>
      <c r="SC42" s="1307">
        <f t="shared" si="548"/>
        <v>0</v>
      </c>
      <c r="SD42" s="1307">
        <f t="shared" si="548"/>
        <v>0</v>
      </c>
      <c r="SE42" s="1307">
        <f t="shared" si="548"/>
        <v>0</v>
      </c>
      <c r="SF42" s="1307">
        <f t="shared" si="548"/>
        <v>0</v>
      </c>
      <c r="SG42" s="1307">
        <f t="shared" si="548"/>
        <v>0</v>
      </c>
      <c r="SH42" s="1307">
        <f t="shared" si="548"/>
        <v>0</v>
      </c>
      <c r="SI42" s="1307">
        <f t="shared" si="548"/>
        <v>0</v>
      </c>
      <c r="SJ42" s="1307">
        <f t="shared" si="548"/>
        <v>0</v>
      </c>
      <c r="SK42" s="1307">
        <f t="shared" si="548"/>
        <v>0</v>
      </c>
      <c r="SL42" s="1307">
        <f t="shared" si="548"/>
        <v>0</v>
      </c>
      <c r="SM42" s="1307">
        <f t="shared" si="548"/>
        <v>0</v>
      </c>
      <c r="SN42" s="1307">
        <f t="shared" si="548"/>
        <v>0</v>
      </c>
      <c r="SO42" s="1307">
        <f t="shared" si="548"/>
        <v>0</v>
      </c>
      <c r="SP42" s="1307">
        <f t="shared" si="548"/>
        <v>0</v>
      </c>
      <c r="SQ42" s="1307">
        <f t="shared" si="548"/>
        <v>0</v>
      </c>
      <c r="SR42" s="1307">
        <f t="shared" si="548"/>
        <v>0</v>
      </c>
      <c r="SS42" s="1307">
        <f t="shared" si="548"/>
        <v>0</v>
      </c>
      <c r="ST42" s="1307">
        <f t="shared" si="548"/>
        <v>0</v>
      </c>
      <c r="SU42" s="1307">
        <f t="shared" si="548"/>
        <v>0</v>
      </c>
      <c r="SV42" s="1307">
        <f t="shared" si="548"/>
        <v>0</v>
      </c>
      <c r="SW42" s="1307">
        <f t="shared" si="548"/>
        <v>0</v>
      </c>
      <c r="SX42" s="1307">
        <f t="shared" si="548"/>
        <v>816536271.82000005</v>
      </c>
      <c r="SY42" s="1307">
        <f t="shared" si="548"/>
        <v>6193124.0799999936</v>
      </c>
      <c r="SZ42" s="1307">
        <f t="shared" si="548"/>
        <v>117669358.27000001</v>
      </c>
      <c r="TA42" s="1307">
        <f t="shared" si="548"/>
        <v>0</v>
      </c>
      <c r="TB42" s="1307">
        <f t="shared" si="548"/>
        <v>0</v>
      </c>
      <c r="TC42" s="1307">
        <f t="shared" ref="TC42:VN42" si="549">TC13+TC14+TC15+TC16</f>
        <v>34633689.469999999</v>
      </c>
      <c r="TD42" s="1307">
        <f t="shared" si="549"/>
        <v>658040100</v>
      </c>
      <c r="TE42" s="1307">
        <f t="shared" si="549"/>
        <v>310378096.45999998</v>
      </c>
      <c r="TF42" s="1307">
        <f t="shared" si="549"/>
        <v>452036.02</v>
      </c>
      <c r="TG42" s="1307">
        <f t="shared" si="549"/>
        <v>8588685.3199999966</v>
      </c>
      <c r="TH42" s="1307">
        <f t="shared" si="549"/>
        <v>0</v>
      </c>
      <c r="TI42" s="1307">
        <f t="shared" si="549"/>
        <v>0</v>
      </c>
      <c r="TJ42" s="1307">
        <f t="shared" si="549"/>
        <v>15066868.75</v>
      </c>
      <c r="TK42" s="1307">
        <f t="shared" si="549"/>
        <v>286270506.37</v>
      </c>
      <c r="TL42" s="1307">
        <f t="shared" si="549"/>
        <v>3414035.2</v>
      </c>
      <c r="TM42" s="1307">
        <f t="shared" si="549"/>
        <v>0</v>
      </c>
      <c r="TN42" s="1307">
        <f t="shared" si="549"/>
        <v>0</v>
      </c>
      <c r="TO42" s="1307">
        <f t="shared" si="549"/>
        <v>170701.76000000024</v>
      </c>
      <c r="TP42" s="1307">
        <f t="shared" si="549"/>
        <v>3243333.44</v>
      </c>
      <c r="TQ42" s="1307">
        <f t="shared" si="549"/>
        <v>0</v>
      </c>
      <c r="TR42" s="1307">
        <f t="shared" si="549"/>
        <v>0</v>
      </c>
      <c r="TS42" s="1307">
        <f t="shared" si="549"/>
        <v>0</v>
      </c>
      <c r="TT42" s="1307">
        <f t="shared" si="549"/>
        <v>0</v>
      </c>
      <c r="TU42" s="1307">
        <f t="shared" si="549"/>
        <v>0</v>
      </c>
      <c r="TV42" s="1307">
        <f t="shared" si="549"/>
        <v>0</v>
      </c>
      <c r="TW42" s="1307">
        <f t="shared" si="549"/>
        <v>0</v>
      </c>
      <c r="TX42" s="1307">
        <f t="shared" si="549"/>
        <v>0</v>
      </c>
      <c r="TY42" s="1307">
        <f t="shared" si="549"/>
        <v>0</v>
      </c>
      <c r="TZ42" s="1307">
        <f t="shared" si="549"/>
        <v>3414035.2</v>
      </c>
      <c r="UA42" s="1307">
        <f t="shared" si="549"/>
        <v>0</v>
      </c>
      <c r="UB42" s="1307">
        <f t="shared" si="549"/>
        <v>0</v>
      </c>
      <c r="UC42" s="1307">
        <f t="shared" si="549"/>
        <v>170701.76000000024</v>
      </c>
      <c r="UD42" s="1307">
        <f t="shared" si="549"/>
        <v>3243333.44</v>
      </c>
      <c r="UE42" s="1307">
        <f t="shared" si="549"/>
        <v>0</v>
      </c>
      <c r="UF42" s="1307">
        <f t="shared" si="549"/>
        <v>0</v>
      </c>
      <c r="UG42" s="1307">
        <f t="shared" si="549"/>
        <v>0</v>
      </c>
      <c r="UH42" s="1307">
        <f t="shared" si="549"/>
        <v>0</v>
      </c>
      <c r="UI42" s="1307">
        <f t="shared" si="549"/>
        <v>0</v>
      </c>
      <c r="UJ42" s="1307">
        <f t="shared" si="549"/>
        <v>0</v>
      </c>
      <c r="UK42" s="1307">
        <f t="shared" si="549"/>
        <v>0</v>
      </c>
      <c r="UL42" s="1307">
        <f t="shared" si="549"/>
        <v>0</v>
      </c>
      <c r="UM42" s="1307">
        <f t="shared" si="549"/>
        <v>0</v>
      </c>
      <c r="UN42" s="1307">
        <f t="shared" si="549"/>
        <v>0</v>
      </c>
      <c r="UO42" s="1307">
        <f t="shared" si="549"/>
        <v>0</v>
      </c>
      <c r="UP42" s="1307">
        <f t="shared" si="549"/>
        <v>0</v>
      </c>
      <c r="UQ42" s="1307">
        <f t="shared" si="549"/>
        <v>0</v>
      </c>
      <c r="UR42" s="1307">
        <f t="shared" si="549"/>
        <v>0</v>
      </c>
      <c r="US42" s="1307">
        <f t="shared" si="549"/>
        <v>0</v>
      </c>
      <c r="UT42" s="1307">
        <f t="shared" si="549"/>
        <v>0</v>
      </c>
      <c r="UU42" s="1307">
        <f t="shared" si="549"/>
        <v>0</v>
      </c>
      <c r="UV42" s="1307">
        <f t="shared" si="549"/>
        <v>0</v>
      </c>
      <c r="UW42" s="1307">
        <f t="shared" si="549"/>
        <v>0</v>
      </c>
      <c r="UX42" s="1307">
        <f t="shared" si="549"/>
        <v>0</v>
      </c>
      <c r="UY42" s="1307">
        <f t="shared" si="549"/>
        <v>0</v>
      </c>
      <c r="UZ42" s="1307">
        <f t="shared" si="549"/>
        <v>0</v>
      </c>
      <c r="VA42" s="1307">
        <f t="shared" si="549"/>
        <v>0</v>
      </c>
      <c r="VB42" s="1307">
        <f t="shared" si="549"/>
        <v>371267086.23000002</v>
      </c>
      <c r="VC42" s="1307">
        <f t="shared" si="549"/>
        <v>56272229.43</v>
      </c>
      <c r="VD42" s="1307">
        <f t="shared" si="549"/>
        <v>3289436.41</v>
      </c>
      <c r="VE42" s="1307">
        <f t="shared" si="549"/>
        <v>0</v>
      </c>
      <c r="VF42" s="1307">
        <f t="shared" si="549"/>
        <v>2186017.9</v>
      </c>
      <c r="VG42" s="1307">
        <f t="shared" si="549"/>
        <v>0</v>
      </c>
      <c r="VH42" s="1307">
        <f t="shared" si="549"/>
        <v>1103418.51</v>
      </c>
      <c r="VI42" s="1307">
        <f t="shared" si="549"/>
        <v>0</v>
      </c>
      <c r="VJ42" s="1307">
        <f t="shared" si="549"/>
        <v>1236977043.1599998</v>
      </c>
      <c r="VK42" s="1307">
        <f t="shared" si="549"/>
        <v>1203579030.6299999</v>
      </c>
      <c r="VL42" s="1307">
        <f t="shared" si="549"/>
        <v>33398012.530000001</v>
      </c>
      <c r="VM42" s="1307">
        <f t="shared" si="549"/>
        <v>660393501.22000003</v>
      </c>
      <c r="VN42" s="1307">
        <f t="shared" si="549"/>
        <v>644874320.59000003</v>
      </c>
      <c r="VO42" s="1307">
        <f t="shared" ref="VO42:XZ42" si="550">VO13+VO14+VO15+VO16</f>
        <v>15519180.629999999</v>
      </c>
      <c r="VP42" s="1307">
        <f t="shared" si="550"/>
        <v>1151461799.25</v>
      </c>
      <c r="VQ42" s="1307">
        <f t="shared" si="550"/>
        <v>619835202</v>
      </c>
      <c r="VR42" s="1307">
        <f t="shared" si="550"/>
        <v>38299442</v>
      </c>
      <c r="VS42" s="1307">
        <f t="shared" si="550"/>
        <v>17590726.43</v>
      </c>
      <c r="VT42" s="1307">
        <f t="shared" si="550"/>
        <v>9483500</v>
      </c>
      <c r="VU42" s="1307">
        <f t="shared" si="550"/>
        <v>969502.7</v>
      </c>
      <c r="VV42" s="1307">
        <f t="shared" si="550"/>
        <v>0</v>
      </c>
      <c r="VW42" s="1307">
        <f t="shared" si="550"/>
        <v>0</v>
      </c>
      <c r="VX42" s="1307">
        <f t="shared" si="550"/>
        <v>0</v>
      </c>
      <c r="VY42" s="1307">
        <f t="shared" si="550"/>
        <v>0</v>
      </c>
      <c r="VZ42" s="1307">
        <f t="shared" si="550"/>
        <v>0</v>
      </c>
      <c r="WA42" s="1307">
        <f t="shared" si="550"/>
        <v>0</v>
      </c>
      <c r="WB42" s="1307">
        <f t="shared" si="550"/>
        <v>0</v>
      </c>
      <c r="WC42" s="1307">
        <f t="shared" si="550"/>
        <v>0</v>
      </c>
      <c r="WD42" s="1307">
        <f t="shared" si="550"/>
        <v>0</v>
      </c>
      <c r="WE42" s="1307">
        <f t="shared" si="550"/>
        <v>0</v>
      </c>
      <c r="WF42" s="1307">
        <f t="shared" si="550"/>
        <v>27925016.93</v>
      </c>
      <c r="WG42" s="1307">
        <f t="shared" si="550"/>
        <v>7260504.4000000004</v>
      </c>
      <c r="WH42" s="1307">
        <f t="shared" si="550"/>
        <v>20664512.530000001</v>
      </c>
      <c r="WI42" s="1307">
        <f t="shared" si="550"/>
        <v>17274585.199999999</v>
      </c>
      <c r="WJ42" s="1307">
        <f t="shared" si="550"/>
        <v>4491392.16</v>
      </c>
      <c r="WK42" s="1307">
        <f t="shared" si="550"/>
        <v>12783193.039999999</v>
      </c>
      <c r="WL42" s="1307">
        <f t="shared" si="550"/>
        <v>9807284.9799999986</v>
      </c>
      <c r="WM42" s="1307">
        <f t="shared" si="550"/>
        <v>6557284.9800000004</v>
      </c>
      <c r="WN42" s="1307">
        <f t="shared" si="550"/>
        <v>3250000</v>
      </c>
      <c r="WO42" s="1307">
        <f t="shared" si="550"/>
        <v>4723484.8899999997</v>
      </c>
      <c r="WP42" s="1307">
        <f t="shared" si="550"/>
        <v>2957000</v>
      </c>
      <c r="WQ42" s="1307">
        <f t="shared" si="550"/>
        <v>1766484.8899999997</v>
      </c>
      <c r="WR42" s="1307">
        <f t="shared" si="550"/>
        <v>282125680.57999998</v>
      </c>
      <c r="WS42" s="1307">
        <f t="shared" si="550"/>
        <v>73596371.290000007</v>
      </c>
      <c r="WT42" s="1307">
        <f t="shared" si="550"/>
        <v>0</v>
      </c>
      <c r="WU42" s="1307">
        <f t="shared" si="550"/>
        <v>0</v>
      </c>
      <c r="WV42" s="1307">
        <f t="shared" si="550"/>
        <v>0</v>
      </c>
      <c r="WW42" s="1307">
        <f t="shared" si="550"/>
        <v>0</v>
      </c>
      <c r="WX42" s="1307">
        <f t="shared" si="550"/>
        <v>0</v>
      </c>
      <c r="WY42" s="1307">
        <f t="shared" si="550"/>
        <v>0</v>
      </c>
      <c r="WZ42" s="1307">
        <f t="shared" si="550"/>
        <v>8088574.1599999983</v>
      </c>
      <c r="XA42" s="1307">
        <f t="shared" si="550"/>
        <v>404428.71000000008</v>
      </c>
      <c r="XB42" s="1307">
        <f t="shared" si="550"/>
        <v>7684145.4500000002</v>
      </c>
      <c r="XC42" s="1307">
        <f t="shared" si="550"/>
        <v>5098643.3600000003</v>
      </c>
      <c r="XD42" s="1307">
        <f t="shared" si="550"/>
        <v>254932.2</v>
      </c>
      <c r="XE42" s="1307">
        <f t="shared" si="550"/>
        <v>4843711.16</v>
      </c>
      <c r="XF42" s="1307">
        <f t="shared" si="550"/>
        <v>44634164</v>
      </c>
      <c r="XG42" s="1307">
        <f t="shared" si="550"/>
        <v>0</v>
      </c>
      <c r="XH42" s="1307">
        <f t="shared" si="550"/>
        <v>44634164</v>
      </c>
      <c r="XI42" s="1307">
        <f t="shared" si="550"/>
        <v>42330863</v>
      </c>
      <c r="XJ42" s="1307">
        <f t="shared" si="550"/>
        <v>0</v>
      </c>
      <c r="XK42" s="1307">
        <f t="shared" si="550"/>
        <v>42330863</v>
      </c>
      <c r="XL42" s="1307">
        <f t="shared" si="550"/>
        <v>0</v>
      </c>
      <c r="XM42" s="1307">
        <f t="shared" si="550"/>
        <v>0</v>
      </c>
      <c r="XN42" s="1307">
        <f t="shared" si="550"/>
        <v>0</v>
      </c>
      <c r="XO42" s="1307">
        <f t="shared" si="550"/>
        <v>0</v>
      </c>
      <c r="XP42" s="1307">
        <f t="shared" si="550"/>
        <v>0</v>
      </c>
      <c r="XQ42" s="1307">
        <f t="shared" si="550"/>
        <v>0</v>
      </c>
      <c r="XR42" s="1307">
        <f t="shared" si="550"/>
        <v>0</v>
      </c>
      <c r="XS42" s="1307">
        <f t="shared" si="550"/>
        <v>0</v>
      </c>
      <c r="XT42" s="1307">
        <f t="shared" si="550"/>
        <v>0</v>
      </c>
      <c r="XU42" s="1307">
        <f t="shared" si="550"/>
        <v>0</v>
      </c>
      <c r="XV42" s="1307">
        <f t="shared" si="550"/>
        <v>0</v>
      </c>
      <c r="XW42" s="1307">
        <f t="shared" si="550"/>
        <v>0</v>
      </c>
      <c r="XX42" s="1307">
        <f t="shared" si="550"/>
        <v>229402942.42000002</v>
      </c>
      <c r="XY42" s="1307">
        <f t="shared" si="550"/>
        <v>0</v>
      </c>
      <c r="XZ42" s="1307">
        <f t="shared" si="550"/>
        <v>27174991.600000001</v>
      </c>
      <c r="YA42" s="1307">
        <f t="shared" ref="YA42:AAL42" si="551">YA13+YA14+YA15+YA16</f>
        <v>8379862.2999999998</v>
      </c>
      <c r="YB42" s="1307">
        <f t="shared" si="551"/>
        <v>0</v>
      </c>
      <c r="YC42" s="1307">
        <f t="shared" si="551"/>
        <v>12831280</v>
      </c>
      <c r="YD42" s="1307">
        <f t="shared" si="551"/>
        <v>159425819</v>
      </c>
      <c r="YE42" s="1307">
        <f t="shared" si="551"/>
        <v>8058869.6000000006</v>
      </c>
      <c r="YF42" s="1307">
        <f t="shared" si="551"/>
        <v>0</v>
      </c>
      <c r="YG42" s="1307">
        <f t="shared" si="551"/>
        <v>0</v>
      </c>
      <c r="YH42" s="1307">
        <f t="shared" si="551"/>
        <v>13532119.919999998</v>
      </c>
      <c r="YI42" s="1307">
        <f t="shared" si="551"/>
        <v>26166864.93</v>
      </c>
      <c r="YJ42" s="1307">
        <f t="shared" si="551"/>
        <v>0</v>
      </c>
      <c r="YK42" s="1307">
        <f t="shared" si="551"/>
        <v>0</v>
      </c>
      <c r="YL42" s="1307">
        <f t="shared" si="551"/>
        <v>375000</v>
      </c>
      <c r="YM42" s="1307">
        <f t="shared" si="551"/>
        <v>0</v>
      </c>
      <c r="YN42" s="1307">
        <f t="shared" si="551"/>
        <v>12831280</v>
      </c>
      <c r="YO42" s="1307">
        <f t="shared" si="551"/>
        <v>5736504.29</v>
      </c>
      <c r="YP42" s="1307">
        <f t="shared" si="551"/>
        <v>0</v>
      </c>
      <c r="YQ42" s="1307">
        <f t="shared" si="551"/>
        <v>0</v>
      </c>
      <c r="YR42" s="1307">
        <f t="shared" si="551"/>
        <v>0</v>
      </c>
      <c r="YS42" s="1307">
        <f t="shared" si="551"/>
        <v>7224080.6399999987</v>
      </c>
      <c r="YT42" s="1307">
        <f t="shared" si="551"/>
        <v>0</v>
      </c>
      <c r="YU42" s="1307">
        <f t="shared" si="551"/>
        <v>0</v>
      </c>
      <c r="YV42" s="1307">
        <f t="shared" si="551"/>
        <v>0</v>
      </c>
      <c r="YW42" s="1307">
        <f t="shared" si="551"/>
        <v>0</v>
      </c>
      <c r="YX42" s="1307">
        <f t="shared" si="551"/>
        <v>0</v>
      </c>
      <c r="YY42" s="1307">
        <f t="shared" si="551"/>
        <v>0</v>
      </c>
      <c r="YZ42" s="1307">
        <f t="shared" si="551"/>
        <v>0</v>
      </c>
      <c r="ZA42" s="1307">
        <f t="shared" si="551"/>
        <v>0</v>
      </c>
      <c r="ZB42" s="1307">
        <f t="shared" si="551"/>
        <v>0</v>
      </c>
      <c r="ZC42" s="1307">
        <f t="shared" si="551"/>
        <v>0</v>
      </c>
      <c r="ZD42" s="1307">
        <f t="shared" si="551"/>
        <v>0</v>
      </c>
      <c r="ZE42" s="1307">
        <f t="shared" si="551"/>
        <v>0</v>
      </c>
      <c r="ZF42" s="1307">
        <f t="shared" si="551"/>
        <v>0</v>
      </c>
      <c r="ZG42" s="1307">
        <f t="shared" si="551"/>
        <v>0</v>
      </c>
      <c r="ZH42" s="1307">
        <f t="shared" si="551"/>
        <v>0</v>
      </c>
      <c r="ZI42" s="1307">
        <f t="shared" si="551"/>
        <v>0</v>
      </c>
      <c r="ZJ42" s="1307">
        <f t="shared" si="551"/>
        <v>0</v>
      </c>
      <c r="ZK42" s="1307">
        <f t="shared" si="551"/>
        <v>0</v>
      </c>
      <c r="ZL42" s="1307">
        <f t="shared" si="551"/>
        <v>0</v>
      </c>
      <c r="ZM42" s="1307">
        <f t="shared" si="551"/>
        <v>0</v>
      </c>
      <c r="ZN42" s="1307">
        <f t="shared" si="551"/>
        <v>0</v>
      </c>
      <c r="ZO42" s="1307">
        <f t="shared" si="551"/>
        <v>0</v>
      </c>
      <c r="ZP42" s="1307">
        <f t="shared" si="551"/>
        <v>0</v>
      </c>
      <c r="ZQ42" s="1307">
        <f t="shared" si="551"/>
        <v>0</v>
      </c>
      <c r="ZR42" s="1307">
        <f t="shared" si="551"/>
        <v>0</v>
      </c>
      <c r="ZS42" s="1307">
        <f t="shared" si="551"/>
        <v>0</v>
      </c>
      <c r="ZT42" s="1307">
        <f t="shared" si="551"/>
        <v>0</v>
      </c>
      <c r="ZU42" s="1307">
        <f t="shared" si="551"/>
        <v>0</v>
      </c>
      <c r="ZV42" s="1307">
        <f t="shared" si="551"/>
        <v>0</v>
      </c>
      <c r="ZW42" s="1307">
        <f t="shared" si="551"/>
        <v>0</v>
      </c>
      <c r="ZX42" s="1307">
        <f t="shared" si="551"/>
        <v>0</v>
      </c>
      <c r="ZY42" s="1307">
        <f t="shared" si="551"/>
        <v>0</v>
      </c>
      <c r="ZZ42" s="1307">
        <f t="shared" si="551"/>
        <v>0</v>
      </c>
      <c r="AAA42" s="1307">
        <f t="shared" si="551"/>
        <v>0</v>
      </c>
      <c r="AAB42" s="1307">
        <f t="shared" si="551"/>
        <v>0</v>
      </c>
      <c r="AAC42" s="1307">
        <f t="shared" si="551"/>
        <v>0</v>
      </c>
      <c r="AAD42" s="1307">
        <f t="shared" si="551"/>
        <v>0</v>
      </c>
      <c r="AAE42" s="1307">
        <f t="shared" si="551"/>
        <v>0</v>
      </c>
      <c r="AAF42" s="1307">
        <f t="shared" si="551"/>
        <v>0</v>
      </c>
      <c r="AAG42" s="1307">
        <f t="shared" si="551"/>
        <v>0</v>
      </c>
      <c r="AAH42" s="1307">
        <f t="shared" si="551"/>
        <v>0</v>
      </c>
      <c r="AAI42" s="1307">
        <f t="shared" si="551"/>
        <v>0</v>
      </c>
      <c r="AAJ42" s="1307">
        <f t="shared" si="551"/>
        <v>0</v>
      </c>
      <c r="AAK42" s="1307">
        <f t="shared" si="551"/>
        <v>0</v>
      </c>
      <c r="AAL42" s="1307">
        <f t="shared" si="551"/>
        <v>0</v>
      </c>
      <c r="AAM42" s="1307">
        <f t="shared" ref="AAM42:AAU42" si="552">AAM13+AAM14+AAM15+AAM16</f>
        <v>0</v>
      </c>
      <c r="AAN42" s="1307">
        <f t="shared" si="552"/>
        <v>0</v>
      </c>
      <c r="AAO42" s="1307">
        <f t="shared" si="552"/>
        <v>0</v>
      </c>
      <c r="AAP42" s="1307">
        <f t="shared" si="552"/>
        <v>0</v>
      </c>
      <c r="AAQ42" s="1307">
        <f t="shared" si="552"/>
        <v>0</v>
      </c>
      <c r="AAR42" s="1307">
        <f t="shared" si="552"/>
        <v>0</v>
      </c>
      <c r="AAS42" s="1307">
        <f t="shared" si="552"/>
        <v>0</v>
      </c>
      <c r="AAT42" s="1307">
        <f t="shared" si="552"/>
        <v>0</v>
      </c>
      <c r="AAU42" s="1307">
        <f t="shared" si="552"/>
        <v>0</v>
      </c>
      <c r="AAV42" s="993"/>
      <c r="AAW42" s="694"/>
    </row>
    <row r="43" spans="1:725" ht="24" customHeight="1" x14ac:dyDescent="0.25">
      <c r="A43" s="997" t="s">
        <v>764</v>
      </c>
      <c r="B43" s="1308">
        <f t="shared" ref="B43:BR43" si="553">B35</f>
        <v>22629108362.93</v>
      </c>
      <c r="C43" s="1308">
        <f t="shared" si="553"/>
        <v>9583129803.7799988</v>
      </c>
      <c r="D43" s="1308">
        <f t="shared" si="553"/>
        <v>4199910443.3000002</v>
      </c>
      <c r="E43" s="1308">
        <f t="shared" si="553"/>
        <v>1637693745.9100001</v>
      </c>
      <c r="F43" s="1308">
        <f t="shared" si="553"/>
        <v>1335521129.3</v>
      </c>
      <c r="G43" s="1308">
        <f t="shared" si="553"/>
        <v>625943745.90999997</v>
      </c>
      <c r="H43" s="1308">
        <f t="shared" si="553"/>
        <v>0</v>
      </c>
      <c r="I43" s="1308">
        <f t="shared" si="553"/>
        <v>0</v>
      </c>
      <c r="J43" s="1308">
        <f t="shared" si="553"/>
        <v>0</v>
      </c>
      <c r="K43" s="1308">
        <f t="shared" si="553"/>
        <v>0</v>
      </c>
      <c r="L43" s="1308">
        <f t="shared" si="553"/>
        <v>0</v>
      </c>
      <c r="M43" s="1308">
        <f t="shared" si="553"/>
        <v>0</v>
      </c>
      <c r="N43" s="1308">
        <f t="shared" si="553"/>
        <v>2862589314.0000005</v>
      </c>
      <c r="O43" s="1308">
        <f t="shared" si="553"/>
        <v>1011750000</v>
      </c>
      <c r="P43" s="1308">
        <f t="shared" si="553"/>
        <v>0</v>
      </c>
      <c r="Q43" s="1308">
        <f t="shared" si="553"/>
        <v>0</v>
      </c>
      <c r="R43" s="1308">
        <f t="shared" si="553"/>
        <v>0</v>
      </c>
      <c r="S43" s="1308">
        <f t="shared" si="553"/>
        <v>0</v>
      </c>
      <c r="T43" s="1308">
        <f t="shared" si="553"/>
        <v>0</v>
      </c>
      <c r="U43" s="1308">
        <f t="shared" si="553"/>
        <v>0</v>
      </c>
      <c r="V43" s="1308">
        <f t="shared" si="553"/>
        <v>1800000</v>
      </c>
      <c r="W43" s="1308">
        <f t="shared" ref="W43:Y43" si="554">W35</f>
        <v>0</v>
      </c>
      <c r="X43" s="1308">
        <f t="shared" si="554"/>
        <v>1800000</v>
      </c>
      <c r="Y43" s="1308">
        <f t="shared" si="554"/>
        <v>0</v>
      </c>
      <c r="Z43" s="1308">
        <f t="shared" si="553"/>
        <v>0</v>
      </c>
      <c r="AA43" s="1308">
        <f t="shared" si="553"/>
        <v>0</v>
      </c>
      <c r="AB43" s="1308">
        <f t="shared" si="553"/>
        <v>0</v>
      </c>
      <c r="AC43" s="1308">
        <f t="shared" si="553"/>
        <v>0</v>
      </c>
      <c r="AD43" s="1308">
        <f t="shared" si="553"/>
        <v>0</v>
      </c>
      <c r="AE43" s="1308">
        <f t="shared" ref="AE43:AF43" si="555">AE35</f>
        <v>0</v>
      </c>
      <c r="AF43" s="1308">
        <f t="shared" si="555"/>
        <v>0</v>
      </c>
      <c r="AG43" s="1308">
        <f t="shared" si="553"/>
        <v>0</v>
      </c>
      <c r="AH43" s="1308">
        <f t="shared" si="553"/>
        <v>0</v>
      </c>
      <c r="AI43" s="1308">
        <f t="shared" si="553"/>
        <v>0</v>
      </c>
      <c r="AJ43" s="1308">
        <f t="shared" si="553"/>
        <v>0</v>
      </c>
      <c r="AK43" s="1308">
        <f t="shared" si="553"/>
        <v>0</v>
      </c>
      <c r="AL43" s="1308">
        <f t="shared" si="553"/>
        <v>0</v>
      </c>
      <c r="AM43" s="1308">
        <f t="shared" si="553"/>
        <v>0</v>
      </c>
      <c r="AN43" s="1308">
        <f t="shared" si="553"/>
        <v>8811636882.8799992</v>
      </c>
      <c r="AO43" s="1308">
        <f t="shared" si="553"/>
        <v>2908651303.3099999</v>
      </c>
      <c r="AP43" s="1308">
        <f t="shared" si="553"/>
        <v>18900000</v>
      </c>
      <c r="AQ43" s="1308">
        <f t="shared" si="553"/>
        <v>0</v>
      </c>
      <c r="AR43" s="1308">
        <f t="shared" si="553"/>
        <v>18900000</v>
      </c>
      <c r="AS43" s="1308">
        <f t="shared" si="553"/>
        <v>0</v>
      </c>
      <c r="AT43" s="1308">
        <f t="shared" si="553"/>
        <v>0</v>
      </c>
      <c r="AU43" s="1308">
        <f t="shared" si="553"/>
        <v>0</v>
      </c>
      <c r="AV43" s="1308">
        <f t="shared" si="553"/>
        <v>0</v>
      </c>
      <c r="AW43" s="1308">
        <f t="shared" si="553"/>
        <v>0</v>
      </c>
      <c r="AX43" s="1308">
        <f t="shared" si="553"/>
        <v>0</v>
      </c>
      <c r="AY43" s="1308">
        <f t="shared" si="553"/>
        <v>0</v>
      </c>
      <c r="AZ43" s="1308">
        <f t="shared" si="553"/>
        <v>0</v>
      </c>
      <c r="BA43" s="1308">
        <f t="shared" si="553"/>
        <v>0</v>
      </c>
      <c r="BB43" s="1308">
        <f t="shared" si="553"/>
        <v>0</v>
      </c>
      <c r="BC43" s="1308">
        <f t="shared" si="553"/>
        <v>0</v>
      </c>
      <c r="BD43" s="1308">
        <f t="shared" si="553"/>
        <v>0</v>
      </c>
      <c r="BE43" s="1308">
        <f t="shared" si="553"/>
        <v>0</v>
      </c>
      <c r="BF43" s="1308">
        <f t="shared" si="553"/>
        <v>0</v>
      </c>
      <c r="BG43" s="1308">
        <f t="shared" si="553"/>
        <v>0</v>
      </c>
      <c r="BH43" s="1308">
        <f t="shared" si="553"/>
        <v>52859325.390000001</v>
      </c>
      <c r="BI43" s="1308">
        <f t="shared" si="553"/>
        <v>52859325.390000001</v>
      </c>
      <c r="BJ43" s="1308">
        <f t="shared" si="553"/>
        <v>0</v>
      </c>
      <c r="BK43" s="1308">
        <f t="shared" si="553"/>
        <v>0</v>
      </c>
      <c r="BL43" s="1308">
        <f t="shared" si="553"/>
        <v>0</v>
      </c>
      <c r="BM43" s="1308">
        <f t="shared" si="553"/>
        <v>0</v>
      </c>
      <c r="BN43" s="1308">
        <f t="shared" si="553"/>
        <v>0</v>
      </c>
      <c r="BO43" s="1308">
        <f t="shared" si="553"/>
        <v>0</v>
      </c>
      <c r="BP43" s="1308">
        <f t="shared" si="553"/>
        <v>0</v>
      </c>
      <c r="BQ43" s="1308">
        <f t="shared" si="553"/>
        <v>0</v>
      </c>
      <c r="BR43" s="1308">
        <f t="shared" si="553"/>
        <v>0</v>
      </c>
      <c r="BS43" s="1308">
        <f t="shared" ref="BS43:EH43" si="556">BS35</f>
        <v>0</v>
      </c>
      <c r="BT43" s="1308">
        <f t="shared" si="556"/>
        <v>0</v>
      </c>
      <c r="BU43" s="1308">
        <f t="shared" si="556"/>
        <v>0</v>
      </c>
      <c r="BV43" s="1308">
        <f t="shared" si="556"/>
        <v>0</v>
      </c>
      <c r="BW43" s="1308">
        <f t="shared" si="556"/>
        <v>0</v>
      </c>
      <c r="BX43" s="1308">
        <f t="shared" si="556"/>
        <v>0</v>
      </c>
      <c r="BY43" s="1308">
        <f t="shared" si="556"/>
        <v>0</v>
      </c>
      <c r="BZ43" s="1308">
        <f t="shared" si="556"/>
        <v>0</v>
      </c>
      <c r="CA43" s="1308">
        <f t="shared" si="556"/>
        <v>0</v>
      </c>
      <c r="CB43" s="1308">
        <f t="shared" si="556"/>
        <v>37759000</v>
      </c>
      <c r="CC43" s="1308">
        <f t="shared" ref="CC43:CG43" si="557">CC35</f>
        <v>37759000</v>
      </c>
      <c r="CD43" s="1308">
        <f t="shared" si="557"/>
        <v>0</v>
      </c>
      <c r="CE43" s="1308">
        <f t="shared" si="557"/>
        <v>0</v>
      </c>
      <c r="CF43" s="1308">
        <f t="shared" si="557"/>
        <v>0</v>
      </c>
      <c r="CG43" s="1308">
        <f t="shared" si="557"/>
        <v>0</v>
      </c>
      <c r="CH43" s="1308">
        <f t="shared" si="556"/>
        <v>115116800</v>
      </c>
      <c r="CI43" s="1308">
        <f t="shared" si="556"/>
        <v>0</v>
      </c>
      <c r="CJ43" s="1308">
        <f t="shared" si="556"/>
        <v>0</v>
      </c>
      <c r="CK43" s="1308">
        <f t="shared" si="556"/>
        <v>0</v>
      </c>
      <c r="CL43" s="1308">
        <f t="shared" si="556"/>
        <v>0</v>
      </c>
      <c r="CM43" s="1308">
        <f t="shared" si="556"/>
        <v>0</v>
      </c>
      <c r="CN43" s="1308">
        <f t="shared" si="556"/>
        <v>0</v>
      </c>
      <c r="CO43" s="1308">
        <f t="shared" si="556"/>
        <v>0</v>
      </c>
      <c r="CP43" s="1308">
        <f t="shared" si="556"/>
        <v>25590065.600000001</v>
      </c>
      <c r="CQ43" s="1308">
        <f t="shared" si="556"/>
        <v>25590065.600000001</v>
      </c>
      <c r="CR43" s="1308">
        <f t="shared" si="556"/>
        <v>0</v>
      </c>
      <c r="CS43" s="1308">
        <f t="shared" si="556"/>
        <v>0</v>
      </c>
      <c r="CT43" s="1308">
        <f t="shared" si="556"/>
        <v>0</v>
      </c>
      <c r="CU43" s="1308">
        <f t="shared" si="556"/>
        <v>0</v>
      </c>
      <c r="CV43" s="1308">
        <f t="shared" si="556"/>
        <v>860245068.48000002</v>
      </c>
      <c r="CW43" s="1308">
        <f t="shared" si="556"/>
        <v>1145900</v>
      </c>
      <c r="CX43" s="1308">
        <f t="shared" si="556"/>
        <v>21770300</v>
      </c>
      <c r="CY43" s="1308">
        <f t="shared" si="556"/>
        <v>37815349</v>
      </c>
      <c r="CZ43" s="1308">
        <f t="shared" si="556"/>
        <v>720202200</v>
      </c>
      <c r="DA43" s="1308">
        <f t="shared" si="556"/>
        <v>3965576.2799999993</v>
      </c>
      <c r="DB43" s="1308">
        <f t="shared" si="556"/>
        <v>75345743.200000003</v>
      </c>
      <c r="DC43" s="1308">
        <f t="shared" si="556"/>
        <v>214939211.68000001</v>
      </c>
      <c r="DD43" s="1308">
        <f t="shared" si="556"/>
        <v>0</v>
      </c>
      <c r="DE43" s="1308">
        <f t="shared" si="556"/>
        <v>0</v>
      </c>
      <c r="DF43" s="1308">
        <f t="shared" si="556"/>
        <v>7336291.7400000002</v>
      </c>
      <c r="DG43" s="1308">
        <f t="shared" si="556"/>
        <v>139394028.31</v>
      </c>
      <c r="DH43" s="1308">
        <f t="shared" si="556"/>
        <v>3410449.79</v>
      </c>
      <c r="DI43" s="1308">
        <f t="shared" si="556"/>
        <v>64798441.840000004</v>
      </c>
      <c r="DJ43" s="1308">
        <f t="shared" si="556"/>
        <v>0</v>
      </c>
      <c r="DK43" s="1308">
        <f t="shared" si="556"/>
        <v>0</v>
      </c>
      <c r="DL43" s="1308">
        <f t="shared" si="556"/>
        <v>0</v>
      </c>
      <c r="DM43" s="1308">
        <f t="shared" si="556"/>
        <v>0</v>
      </c>
      <c r="DN43" s="1308">
        <f t="shared" si="556"/>
        <v>0</v>
      </c>
      <c r="DO43" s="1308">
        <f t="shared" si="556"/>
        <v>0</v>
      </c>
      <c r="DP43" s="1308">
        <f t="shared" si="556"/>
        <v>0</v>
      </c>
      <c r="DQ43" s="1308">
        <f t="shared" si="556"/>
        <v>0</v>
      </c>
      <c r="DR43" s="1308">
        <f t="shared" si="556"/>
        <v>0</v>
      </c>
      <c r="DS43" s="1308">
        <f t="shared" si="556"/>
        <v>0</v>
      </c>
      <c r="DT43" s="1308">
        <f t="shared" si="556"/>
        <v>5400000</v>
      </c>
      <c r="DU43" s="1308">
        <f t="shared" si="556"/>
        <v>2700000</v>
      </c>
      <c r="DV43" s="1308">
        <f t="shared" si="556"/>
        <v>2700000</v>
      </c>
      <c r="DW43" s="1308">
        <f t="shared" si="556"/>
        <v>0</v>
      </c>
      <c r="DX43" s="1308">
        <f t="shared" si="556"/>
        <v>1800000</v>
      </c>
      <c r="DY43" s="1308">
        <f t="shared" si="556"/>
        <v>450000</v>
      </c>
      <c r="DZ43" s="1308">
        <f t="shared" si="556"/>
        <v>1350000</v>
      </c>
      <c r="EA43" s="1308">
        <f t="shared" si="556"/>
        <v>0</v>
      </c>
      <c r="EB43" s="1308">
        <f t="shared" si="556"/>
        <v>0</v>
      </c>
      <c r="EC43" s="1308">
        <f t="shared" si="556"/>
        <v>0</v>
      </c>
      <c r="ED43" s="1308">
        <f t="shared" si="556"/>
        <v>0</v>
      </c>
      <c r="EE43" s="1308">
        <f t="shared" si="556"/>
        <v>0</v>
      </c>
      <c r="EF43" s="1308">
        <f t="shared" si="556"/>
        <v>0</v>
      </c>
      <c r="EG43" s="1308">
        <f t="shared" si="556"/>
        <v>0</v>
      </c>
      <c r="EH43" s="1308">
        <f t="shared" si="556"/>
        <v>0</v>
      </c>
      <c r="EI43" s="1308">
        <f t="shared" ref="EI43:HN43" si="558">EI35</f>
        <v>0</v>
      </c>
      <c r="EJ43" s="1308">
        <f t="shared" si="558"/>
        <v>0</v>
      </c>
      <c r="EK43" s="1308">
        <f t="shared" si="558"/>
        <v>0</v>
      </c>
      <c r="EL43" s="1308">
        <f t="shared" si="558"/>
        <v>0</v>
      </c>
      <c r="EM43" s="1308">
        <f t="shared" si="558"/>
        <v>0</v>
      </c>
      <c r="EN43" s="1308">
        <f t="shared" si="558"/>
        <v>1207687968.96</v>
      </c>
      <c r="EO43" s="1308">
        <f t="shared" si="558"/>
        <v>319132705.80000001</v>
      </c>
      <c r="EP43" s="1308">
        <f t="shared" si="558"/>
        <v>44427763.159999996</v>
      </c>
      <c r="EQ43" s="1308">
        <f t="shared" si="558"/>
        <v>844127500</v>
      </c>
      <c r="ER43" s="1308">
        <f t="shared" si="558"/>
        <v>422982866.41999996</v>
      </c>
      <c r="ES43" s="1308">
        <f t="shared" si="558"/>
        <v>121024.36</v>
      </c>
      <c r="ET43" s="1308">
        <f t="shared" si="558"/>
        <v>21143092.100000001</v>
      </c>
      <c r="EU43" s="1308">
        <f t="shared" si="558"/>
        <v>401718749.95999998</v>
      </c>
      <c r="EV43" s="1308">
        <f t="shared" si="558"/>
        <v>121175580</v>
      </c>
      <c r="EW43" s="1308">
        <f t="shared" si="558"/>
        <v>6058780</v>
      </c>
      <c r="EX43" s="1308">
        <f t="shared" si="558"/>
        <v>115116800</v>
      </c>
      <c r="EY43" s="1308">
        <f t="shared" si="558"/>
        <v>109618863.97</v>
      </c>
      <c r="EZ43" s="1308">
        <f t="shared" ref="EZ43:FA43" si="559">EZ35</f>
        <v>5480944.0999999996</v>
      </c>
      <c r="FA43" s="1308">
        <f t="shared" si="559"/>
        <v>104137919.87</v>
      </c>
      <c r="FB43" s="1308">
        <f t="shared" si="558"/>
        <v>19378391.170000002</v>
      </c>
      <c r="FC43" s="1308">
        <f t="shared" si="558"/>
        <v>5058011.3800000027</v>
      </c>
      <c r="FD43" s="1308">
        <f t="shared" si="558"/>
        <v>14320379.789999999</v>
      </c>
      <c r="FE43" s="1308">
        <f t="shared" si="558"/>
        <v>0</v>
      </c>
      <c r="FF43" s="1308">
        <f t="shared" si="558"/>
        <v>0</v>
      </c>
      <c r="FG43" s="1308">
        <f t="shared" si="558"/>
        <v>0</v>
      </c>
      <c r="FH43" s="1308">
        <f t="shared" si="558"/>
        <v>0</v>
      </c>
      <c r="FI43" s="1308">
        <f t="shared" si="558"/>
        <v>0</v>
      </c>
      <c r="FJ43" s="1308">
        <f t="shared" si="558"/>
        <v>0</v>
      </c>
      <c r="FK43" s="1308">
        <f t="shared" si="558"/>
        <v>0</v>
      </c>
      <c r="FL43" s="1308">
        <f t="shared" si="558"/>
        <v>0</v>
      </c>
      <c r="FM43" s="1308">
        <f t="shared" si="558"/>
        <v>0</v>
      </c>
      <c r="FN43" s="1308">
        <f t="shared" si="558"/>
        <v>0</v>
      </c>
      <c r="FO43" s="1308">
        <f t="shared" si="558"/>
        <v>0</v>
      </c>
      <c r="FP43" s="1308">
        <f t="shared" si="558"/>
        <v>0</v>
      </c>
      <c r="FQ43" s="1308">
        <f t="shared" si="558"/>
        <v>0</v>
      </c>
      <c r="FR43" s="1308">
        <f t="shared" si="558"/>
        <v>0</v>
      </c>
      <c r="FS43" s="1308">
        <f t="shared" si="558"/>
        <v>0</v>
      </c>
      <c r="FT43" s="1308">
        <f t="shared" si="558"/>
        <v>0</v>
      </c>
      <c r="FU43" s="1308">
        <f t="shared" si="558"/>
        <v>0</v>
      </c>
      <c r="FV43" s="1308">
        <f t="shared" si="558"/>
        <v>0</v>
      </c>
      <c r="FW43" s="1308">
        <f t="shared" si="558"/>
        <v>0</v>
      </c>
      <c r="FX43" s="1308">
        <f t="shared" si="558"/>
        <v>0</v>
      </c>
      <c r="FY43" s="1308">
        <f t="shared" si="558"/>
        <v>0</v>
      </c>
      <c r="FZ43" s="1308">
        <f t="shared" si="558"/>
        <v>0</v>
      </c>
      <c r="GA43" s="1308">
        <f t="shared" si="558"/>
        <v>0</v>
      </c>
      <c r="GB43" s="1308">
        <f t="shared" si="558"/>
        <v>0</v>
      </c>
      <c r="GC43" s="1308">
        <f t="shared" si="558"/>
        <v>0</v>
      </c>
      <c r="GD43" s="1308">
        <f t="shared" si="558"/>
        <v>0</v>
      </c>
      <c r="GE43" s="1308">
        <f t="shared" si="558"/>
        <v>0</v>
      </c>
      <c r="GF43" s="1308">
        <f t="shared" si="558"/>
        <v>0</v>
      </c>
      <c r="GG43" s="1308">
        <f t="shared" si="558"/>
        <v>0</v>
      </c>
      <c r="GH43" s="1308">
        <f t="shared" si="558"/>
        <v>0</v>
      </c>
      <c r="GI43" s="1308">
        <f t="shared" si="558"/>
        <v>0</v>
      </c>
      <c r="GJ43" s="1308">
        <f t="shared" si="558"/>
        <v>0</v>
      </c>
      <c r="GK43" s="1308">
        <f t="shared" si="558"/>
        <v>0</v>
      </c>
      <c r="GL43" s="1308">
        <f t="shared" ref="GL43:GU43" si="560">GL35</f>
        <v>0</v>
      </c>
      <c r="GM43" s="1308">
        <f t="shared" si="560"/>
        <v>0</v>
      </c>
      <c r="GN43" s="1308">
        <f t="shared" si="560"/>
        <v>0</v>
      </c>
      <c r="GO43" s="1308">
        <f t="shared" si="560"/>
        <v>0</v>
      </c>
      <c r="GP43" s="1308">
        <f t="shared" si="560"/>
        <v>0</v>
      </c>
      <c r="GQ43" s="1308">
        <f t="shared" si="560"/>
        <v>0</v>
      </c>
      <c r="GR43" s="1308">
        <f t="shared" si="560"/>
        <v>0</v>
      </c>
      <c r="GS43" s="1308">
        <f t="shared" si="560"/>
        <v>0</v>
      </c>
      <c r="GT43" s="1308">
        <f t="shared" si="560"/>
        <v>0</v>
      </c>
      <c r="GU43" s="1308">
        <f t="shared" si="560"/>
        <v>0</v>
      </c>
      <c r="GV43" s="1308">
        <f t="shared" si="558"/>
        <v>1758989935.8899999</v>
      </c>
      <c r="GW43" s="1308">
        <f t="shared" si="558"/>
        <v>13685959.390000001</v>
      </c>
      <c r="GX43" s="1308">
        <f t="shared" si="558"/>
        <v>260033228.37</v>
      </c>
      <c r="GY43" s="1308">
        <f>GY35</f>
        <v>1485270748.1300001</v>
      </c>
      <c r="GZ43" s="1308">
        <f t="shared" si="558"/>
        <v>574558345.93999994</v>
      </c>
      <c r="HA43" s="1308">
        <f t="shared" si="558"/>
        <v>7396800</v>
      </c>
      <c r="HB43" s="1308">
        <f t="shared" si="558"/>
        <v>140539200</v>
      </c>
      <c r="HC43" s="1308">
        <f>HC35</f>
        <v>426622345.93999994</v>
      </c>
      <c r="HD43" s="1308">
        <f t="shared" ref="HD43:HK43" si="561">HD35</f>
        <v>0</v>
      </c>
      <c r="HE43" s="1308">
        <f t="shared" si="561"/>
        <v>0</v>
      </c>
      <c r="HF43" s="1308">
        <f t="shared" si="561"/>
        <v>0</v>
      </c>
      <c r="HG43" s="1308">
        <f t="shared" si="561"/>
        <v>0</v>
      </c>
      <c r="HH43" s="1308">
        <f t="shared" si="561"/>
        <v>0</v>
      </c>
      <c r="HI43" s="1308">
        <f t="shared" si="561"/>
        <v>0</v>
      </c>
      <c r="HJ43" s="1308">
        <f t="shared" si="561"/>
        <v>0</v>
      </c>
      <c r="HK43" s="1308">
        <f t="shared" si="561"/>
        <v>0</v>
      </c>
      <c r="HL43" s="1308">
        <f t="shared" si="558"/>
        <v>1478672773.1399999</v>
      </c>
      <c r="HM43" s="1308">
        <f t="shared" si="558"/>
        <v>73933652.629999995</v>
      </c>
      <c r="HN43" s="1308">
        <f t="shared" si="558"/>
        <v>1404739120.51</v>
      </c>
      <c r="HO43" s="1308">
        <f t="shared" ref="HO43:KV43" si="562">HO35</f>
        <v>602248163</v>
      </c>
      <c r="HP43" s="1308">
        <f t="shared" si="562"/>
        <v>30112413.84</v>
      </c>
      <c r="HQ43" s="1308">
        <f t="shared" si="562"/>
        <v>572135749.15999997</v>
      </c>
      <c r="HR43" s="1308">
        <f t="shared" si="562"/>
        <v>8862344.3799999878</v>
      </c>
      <c r="HS43" s="1308">
        <f t="shared" si="562"/>
        <v>8862344.3799999878</v>
      </c>
      <c r="HT43" s="1308">
        <f t="shared" si="562"/>
        <v>0</v>
      </c>
      <c r="HU43" s="1308">
        <f t="shared" si="562"/>
        <v>0</v>
      </c>
      <c r="HV43" s="1308">
        <f t="shared" si="562"/>
        <v>0</v>
      </c>
      <c r="HW43" s="1308">
        <f t="shared" si="562"/>
        <v>0</v>
      </c>
      <c r="HX43" s="1308">
        <f t="shared" si="562"/>
        <v>0</v>
      </c>
      <c r="HY43" s="1308">
        <f t="shared" si="562"/>
        <v>0</v>
      </c>
      <c r="HZ43" s="1308">
        <f t="shared" si="562"/>
        <v>0</v>
      </c>
      <c r="IA43" s="1308">
        <f t="shared" si="562"/>
        <v>0</v>
      </c>
      <c r="IB43" s="1308">
        <f t="shared" si="562"/>
        <v>0</v>
      </c>
      <c r="IC43" s="1308">
        <f t="shared" si="562"/>
        <v>0</v>
      </c>
      <c r="ID43" s="1308">
        <f t="shared" si="562"/>
        <v>0</v>
      </c>
      <c r="IE43" s="1308">
        <f t="shared" si="562"/>
        <v>0</v>
      </c>
      <c r="IF43" s="1308">
        <f t="shared" si="562"/>
        <v>0</v>
      </c>
      <c r="IG43" s="1308">
        <f t="shared" si="562"/>
        <v>0</v>
      </c>
      <c r="IH43" s="1308">
        <f t="shared" si="562"/>
        <v>0</v>
      </c>
      <c r="II43" s="1308">
        <f t="shared" si="562"/>
        <v>0</v>
      </c>
      <c r="IJ43" s="1308">
        <f t="shared" si="562"/>
        <v>0</v>
      </c>
      <c r="IK43" s="1308">
        <f t="shared" si="562"/>
        <v>0</v>
      </c>
      <c r="IL43" s="1308">
        <f t="shared" si="562"/>
        <v>0</v>
      </c>
      <c r="IM43" s="1308">
        <f t="shared" si="562"/>
        <v>0</v>
      </c>
      <c r="IN43" s="1308">
        <f t="shared" si="562"/>
        <v>0</v>
      </c>
      <c r="IO43" s="1308">
        <f t="shared" si="562"/>
        <v>0</v>
      </c>
      <c r="IP43" s="1308">
        <f t="shared" si="562"/>
        <v>0</v>
      </c>
      <c r="IQ43" s="1308">
        <f t="shared" si="562"/>
        <v>0</v>
      </c>
      <c r="IR43" s="1308">
        <f t="shared" si="562"/>
        <v>0</v>
      </c>
      <c r="IS43" s="1308">
        <f t="shared" si="562"/>
        <v>0</v>
      </c>
      <c r="IT43" s="1308">
        <f t="shared" si="562"/>
        <v>0</v>
      </c>
      <c r="IU43" s="1308">
        <f t="shared" si="562"/>
        <v>0</v>
      </c>
      <c r="IV43" s="1308">
        <f t="shared" ref="IV43:JA43" si="563">IV35</f>
        <v>0</v>
      </c>
      <c r="IW43" s="1308">
        <f t="shared" si="563"/>
        <v>0</v>
      </c>
      <c r="IX43" s="1308">
        <f t="shared" si="563"/>
        <v>0</v>
      </c>
      <c r="IY43" s="1308">
        <f t="shared" si="563"/>
        <v>0</v>
      </c>
      <c r="IZ43" s="1308">
        <f t="shared" si="563"/>
        <v>0</v>
      </c>
      <c r="JA43" s="1308">
        <f t="shared" si="563"/>
        <v>0</v>
      </c>
      <c r="JB43" s="1308">
        <f t="shared" ref="JB43:JE43" si="564">JB35</f>
        <v>0</v>
      </c>
      <c r="JC43" s="1308">
        <f t="shared" si="564"/>
        <v>0</v>
      </c>
      <c r="JD43" s="1308">
        <f t="shared" si="564"/>
        <v>0</v>
      </c>
      <c r="JE43" s="1308">
        <f t="shared" si="564"/>
        <v>0</v>
      </c>
      <c r="JF43" s="1308">
        <f t="shared" si="562"/>
        <v>0</v>
      </c>
      <c r="JG43" s="1308">
        <f t="shared" si="562"/>
        <v>0</v>
      </c>
      <c r="JH43" s="1308">
        <f t="shared" si="562"/>
        <v>0</v>
      </c>
      <c r="JI43" s="1308">
        <f t="shared" si="562"/>
        <v>0</v>
      </c>
      <c r="JJ43" s="1308">
        <f t="shared" si="562"/>
        <v>0</v>
      </c>
      <c r="JK43" s="1308">
        <f t="shared" si="562"/>
        <v>0</v>
      </c>
      <c r="JL43" s="1308">
        <f t="shared" si="562"/>
        <v>3362567.57</v>
      </c>
      <c r="JM43" s="1308">
        <f t="shared" si="562"/>
        <v>874267.56999999983</v>
      </c>
      <c r="JN43" s="1308">
        <f t="shared" si="562"/>
        <v>2488300</v>
      </c>
      <c r="JO43" s="1308">
        <f t="shared" si="562"/>
        <v>3362567.5700000003</v>
      </c>
      <c r="JP43" s="1308">
        <f t="shared" si="562"/>
        <v>874267.58</v>
      </c>
      <c r="JQ43" s="1308">
        <f t="shared" si="562"/>
        <v>2488299.9900000002</v>
      </c>
      <c r="JR43" s="1308">
        <f t="shared" si="562"/>
        <v>0</v>
      </c>
      <c r="JS43" s="1308">
        <f t="shared" si="562"/>
        <v>0</v>
      </c>
      <c r="JT43" s="1308">
        <f t="shared" si="562"/>
        <v>0</v>
      </c>
      <c r="JU43" s="1308">
        <f t="shared" si="562"/>
        <v>0</v>
      </c>
      <c r="JV43" s="1308">
        <f t="shared" si="562"/>
        <v>0</v>
      </c>
      <c r="JW43" s="1308">
        <f t="shared" si="562"/>
        <v>0</v>
      </c>
      <c r="JX43" s="1308">
        <f t="shared" si="562"/>
        <v>0</v>
      </c>
      <c r="JY43" s="1308">
        <f t="shared" si="562"/>
        <v>0</v>
      </c>
      <c r="JZ43" s="1308">
        <f t="shared" si="562"/>
        <v>0</v>
      </c>
      <c r="KA43" s="1308">
        <f t="shared" si="562"/>
        <v>0</v>
      </c>
      <c r="KB43" s="1308">
        <f t="shared" si="562"/>
        <v>0</v>
      </c>
      <c r="KC43" s="1308">
        <f t="shared" si="562"/>
        <v>0</v>
      </c>
      <c r="KD43" s="1308">
        <f t="shared" si="562"/>
        <v>0</v>
      </c>
      <c r="KE43" s="1308">
        <f t="shared" si="562"/>
        <v>0</v>
      </c>
      <c r="KF43" s="1308">
        <f t="shared" si="562"/>
        <v>0</v>
      </c>
      <c r="KG43" s="1308">
        <f t="shared" si="562"/>
        <v>0</v>
      </c>
      <c r="KH43" s="1308">
        <f t="shared" si="562"/>
        <v>0</v>
      </c>
      <c r="KI43" s="1308">
        <f t="shared" si="562"/>
        <v>0</v>
      </c>
      <c r="KJ43" s="1308">
        <f t="shared" si="562"/>
        <v>0</v>
      </c>
      <c r="KK43" s="1308">
        <f t="shared" si="562"/>
        <v>0</v>
      </c>
      <c r="KL43" s="1308">
        <f t="shared" si="562"/>
        <v>0</v>
      </c>
      <c r="KM43" s="1308">
        <f t="shared" si="562"/>
        <v>0</v>
      </c>
      <c r="KN43" s="1308">
        <f t="shared" si="562"/>
        <v>0</v>
      </c>
      <c r="KO43" s="1308">
        <f t="shared" si="562"/>
        <v>0</v>
      </c>
      <c r="KP43" s="1308">
        <f t="shared" si="562"/>
        <v>10673306.01</v>
      </c>
      <c r="KQ43" s="1308">
        <f t="shared" si="562"/>
        <v>4592520</v>
      </c>
      <c r="KR43" s="1308">
        <f t="shared" si="562"/>
        <v>2714716.01</v>
      </c>
      <c r="KS43" s="1308">
        <f t="shared" si="562"/>
        <v>1223726.9400000002</v>
      </c>
      <c r="KT43" s="1308">
        <f t="shared" si="562"/>
        <v>2142343.06</v>
      </c>
      <c r="KU43" s="1308">
        <f t="shared" si="562"/>
        <v>0</v>
      </c>
      <c r="KV43" s="1308">
        <f t="shared" si="562"/>
        <v>0</v>
      </c>
      <c r="KW43" s="1308">
        <f t="shared" ref="KW43:NH43" si="565">KW35</f>
        <v>0</v>
      </c>
      <c r="KX43" s="1308">
        <f t="shared" si="565"/>
        <v>0</v>
      </c>
      <c r="KY43" s="1308">
        <f t="shared" si="565"/>
        <v>0</v>
      </c>
      <c r="KZ43" s="1308">
        <f t="shared" si="565"/>
        <v>0</v>
      </c>
      <c r="LA43" s="1308">
        <f t="shared" si="565"/>
        <v>0</v>
      </c>
      <c r="LB43" s="1308">
        <f t="shared" si="565"/>
        <v>0</v>
      </c>
      <c r="LC43" s="1308">
        <f t="shared" si="565"/>
        <v>0</v>
      </c>
      <c r="LD43" s="1308">
        <f t="shared" si="565"/>
        <v>0</v>
      </c>
      <c r="LE43" s="1308">
        <f t="shared" si="565"/>
        <v>0</v>
      </c>
      <c r="LF43" s="1308">
        <f t="shared" si="565"/>
        <v>0</v>
      </c>
      <c r="LG43" s="1308">
        <f t="shared" si="565"/>
        <v>0</v>
      </c>
      <c r="LH43" s="1308">
        <f t="shared" si="565"/>
        <v>0</v>
      </c>
      <c r="LI43" s="1308">
        <f t="shared" si="565"/>
        <v>0</v>
      </c>
      <c r="LJ43" s="1308">
        <f t="shared" si="565"/>
        <v>0</v>
      </c>
      <c r="LK43" s="1308">
        <f t="shared" si="565"/>
        <v>0</v>
      </c>
      <c r="LL43" s="1308">
        <f t="shared" si="565"/>
        <v>0</v>
      </c>
      <c r="LM43" s="1308">
        <f t="shared" si="565"/>
        <v>0</v>
      </c>
      <c r="LN43" s="1308">
        <f t="shared" si="565"/>
        <v>0</v>
      </c>
      <c r="LO43" s="1308">
        <f t="shared" si="565"/>
        <v>0</v>
      </c>
      <c r="LP43" s="1308">
        <f t="shared" si="565"/>
        <v>0</v>
      </c>
      <c r="LQ43" s="1308">
        <f t="shared" si="565"/>
        <v>0</v>
      </c>
      <c r="LR43" s="1308">
        <f t="shared" si="565"/>
        <v>0</v>
      </c>
      <c r="LS43" s="1308">
        <f t="shared" si="565"/>
        <v>0</v>
      </c>
      <c r="LT43" s="1308">
        <f t="shared" si="565"/>
        <v>0</v>
      </c>
      <c r="LU43" s="1308">
        <f t="shared" si="565"/>
        <v>0</v>
      </c>
      <c r="LV43" s="1308">
        <f t="shared" si="565"/>
        <v>0</v>
      </c>
      <c r="LW43" s="1308">
        <f t="shared" si="565"/>
        <v>0</v>
      </c>
      <c r="LX43" s="1308">
        <f t="shared" si="565"/>
        <v>0</v>
      </c>
      <c r="LY43" s="1308">
        <f t="shared" si="565"/>
        <v>0</v>
      </c>
      <c r="LZ43" s="1308">
        <f t="shared" si="565"/>
        <v>0</v>
      </c>
      <c r="MA43" s="1308">
        <f t="shared" si="565"/>
        <v>0</v>
      </c>
      <c r="MB43" s="1308">
        <f t="shared" si="565"/>
        <v>0</v>
      </c>
      <c r="MC43" s="1308">
        <f t="shared" si="565"/>
        <v>0</v>
      </c>
      <c r="MD43" s="1308">
        <f t="shared" si="565"/>
        <v>0</v>
      </c>
      <c r="ME43" s="1308">
        <f t="shared" si="565"/>
        <v>0</v>
      </c>
      <c r="MF43" s="1308">
        <f t="shared" si="565"/>
        <v>0</v>
      </c>
      <c r="MG43" s="1308">
        <f t="shared" si="565"/>
        <v>0</v>
      </c>
      <c r="MH43" s="1308">
        <f t="shared" si="565"/>
        <v>0</v>
      </c>
      <c r="MI43" s="1308">
        <f t="shared" si="565"/>
        <v>0</v>
      </c>
      <c r="MJ43" s="1308">
        <f t="shared" si="565"/>
        <v>0</v>
      </c>
      <c r="MK43" s="1308">
        <f t="shared" si="565"/>
        <v>0</v>
      </c>
      <c r="ML43" s="1308">
        <f t="shared" si="565"/>
        <v>0</v>
      </c>
      <c r="MM43" s="1308">
        <f t="shared" si="565"/>
        <v>0</v>
      </c>
      <c r="MN43" s="1308">
        <f t="shared" si="565"/>
        <v>0</v>
      </c>
      <c r="MO43" s="1308">
        <f t="shared" si="565"/>
        <v>0</v>
      </c>
      <c r="MP43" s="1308">
        <f t="shared" si="565"/>
        <v>0</v>
      </c>
      <c r="MQ43" s="1308">
        <f t="shared" si="565"/>
        <v>0</v>
      </c>
      <c r="MR43" s="1308">
        <f t="shared" si="565"/>
        <v>0</v>
      </c>
      <c r="MS43" s="1308">
        <f t="shared" si="565"/>
        <v>0</v>
      </c>
      <c r="MT43" s="1308">
        <f t="shared" si="565"/>
        <v>0</v>
      </c>
      <c r="MU43" s="1308">
        <f t="shared" si="565"/>
        <v>0</v>
      </c>
      <c r="MV43" s="1308">
        <f t="shared" si="565"/>
        <v>0</v>
      </c>
      <c r="MW43" s="1308">
        <f t="shared" si="565"/>
        <v>0</v>
      </c>
      <c r="MX43" s="1308">
        <f t="shared" si="565"/>
        <v>0</v>
      </c>
      <c r="MY43" s="1308">
        <f t="shared" si="565"/>
        <v>0</v>
      </c>
      <c r="MZ43" s="1308">
        <f t="shared" si="565"/>
        <v>0</v>
      </c>
      <c r="NA43" s="1308">
        <f t="shared" si="565"/>
        <v>0</v>
      </c>
      <c r="NB43" s="1308">
        <f t="shared" si="565"/>
        <v>1650785.01</v>
      </c>
      <c r="NC43" s="1308">
        <f t="shared" si="565"/>
        <v>0</v>
      </c>
      <c r="ND43" s="1308">
        <f t="shared" si="565"/>
        <v>0</v>
      </c>
      <c r="NE43" s="1308">
        <f t="shared" si="565"/>
        <v>0</v>
      </c>
      <c r="NF43" s="1308">
        <f t="shared" si="565"/>
        <v>0</v>
      </c>
      <c r="NG43" s="1308">
        <f t="shared" si="565"/>
        <v>0</v>
      </c>
      <c r="NH43" s="1308">
        <f t="shared" si="565"/>
        <v>429204.09</v>
      </c>
      <c r="NI43" s="1308">
        <f t="shared" ref="NI43:PT43" si="566">NI35</f>
        <v>1221580.92</v>
      </c>
      <c r="NJ43" s="1308">
        <f t="shared" si="566"/>
        <v>1128414.1000000001</v>
      </c>
      <c r="NK43" s="1308">
        <f t="shared" si="566"/>
        <v>0</v>
      </c>
      <c r="NL43" s="1308">
        <f t="shared" si="566"/>
        <v>0</v>
      </c>
      <c r="NM43" s="1308">
        <f t="shared" si="566"/>
        <v>0</v>
      </c>
      <c r="NN43" s="1308">
        <f t="shared" si="566"/>
        <v>0</v>
      </c>
      <c r="NO43" s="1308">
        <f t="shared" si="566"/>
        <v>0</v>
      </c>
      <c r="NP43" s="1308">
        <f t="shared" si="566"/>
        <v>293387.67</v>
      </c>
      <c r="NQ43" s="1308">
        <f t="shared" si="566"/>
        <v>835026.43</v>
      </c>
      <c r="NR43" s="1308">
        <f t="shared" si="566"/>
        <v>0</v>
      </c>
      <c r="NS43" s="1308">
        <f t="shared" si="566"/>
        <v>0</v>
      </c>
      <c r="NT43" s="1308">
        <f t="shared" si="566"/>
        <v>0</v>
      </c>
      <c r="NU43" s="1308">
        <f t="shared" si="566"/>
        <v>0</v>
      </c>
      <c r="NV43" s="1308">
        <f t="shared" si="566"/>
        <v>0</v>
      </c>
      <c r="NW43" s="1308">
        <f t="shared" si="566"/>
        <v>0</v>
      </c>
      <c r="NX43" s="1308">
        <f t="shared" si="566"/>
        <v>0</v>
      </c>
      <c r="NY43" s="1308">
        <f t="shared" si="566"/>
        <v>0</v>
      </c>
      <c r="NZ43" s="1308">
        <f t="shared" si="566"/>
        <v>0</v>
      </c>
      <c r="OA43" s="1308">
        <f t="shared" si="566"/>
        <v>0</v>
      </c>
      <c r="OB43" s="1308">
        <f t="shared" si="566"/>
        <v>0</v>
      </c>
      <c r="OC43" s="1308">
        <f t="shared" si="566"/>
        <v>0</v>
      </c>
      <c r="OD43" s="1308">
        <f t="shared" si="566"/>
        <v>0</v>
      </c>
      <c r="OE43" s="1308">
        <f t="shared" si="566"/>
        <v>0</v>
      </c>
      <c r="OF43" s="1308">
        <f t="shared" si="566"/>
        <v>0</v>
      </c>
      <c r="OG43" s="1308">
        <f t="shared" si="566"/>
        <v>0</v>
      </c>
      <c r="OH43" s="1308">
        <f t="shared" si="566"/>
        <v>0</v>
      </c>
      <c r="OI43" s="1308">
        <f t="shared" si="566"/>
        <v>0</v>
      </c>
      <c r="OJ43" s="1308">
        <f t="shared" si="566"/>
        <v>0</v>
      </c>
      <c r="OK43" s="1308">
        <f t="shared" si="566"/>
        <v>0</v>
      </c>
      <c r="OL43" s="1308">
        <f t="shared" si="566"/>
        <v>0</v>
      </c>
      <c r="OM43" s="1308">
        <f t="shared" si="566"/>
        <v>0</v>
      </c>
      <c r="ON43" s="1308">
        <f t="shared" si="566"/>
        <v>0</v>
      </c>
      <c r="OO43" s="1308">
        <f t="shared" si="566"/>
        <v>0</v>
      </c>
      <c r="OP43" s="1308">
        <f t="shared" si="566"/>
        <v>0</v>
      </c>
      <c r="OQ43" s="1308">
        <f t="shared" si="566"/>
        <v>0</v>
      </c>
      <c r="OR43" s="1308">
        <f t="shared" si="566"/>
        <v>368867921.07999998</v>
      </c>
      <c r="OS43" s="1308">
        <f t="shared" si="566"/>
        <v>8862344.3799999878</v>
      </c>
      <c r="OT43" s="1308">
        <f t="shared" si="566"/>
        <v>168384500</v>
      </c>
      <c r="OU43" s="1308">
        <f t="shared" si="566"/>
        <v>191621076.69999999</v>
      </c>
      <c r="OV43" s="1308">
        <f t="shared" si="566"/>
        <v>94100399.439999998</v>
      </c>
      <c r="OW43" s="1308">
        <f t="shared" si="566"/>
        <v>2984586.39</v>
      </c>
      <c r="OX43" s="1308">
        <f t="shared" si="566"/>
        <v>56707126.899999999</v>
      </c>
      <c r="OY43" s="1308">
        <f t="shared" si="566"/>
        <v>34408686.149999999</v>
      </c>
      <c r="OZ43" s="1308">
        <f t="shared" si="566"/>
        <v>0</v>
      </c>
      <c r="PA43" s="1308">
        <f t="shared" si="566"/>
        <v>0</v>
      </c>
      <c r="PB43" s="1308">
        <f t="shared" si="566"/>
        <v>0</v>
      </c>
      <c r="PC43" s="1308">
        <f t="shared" si="566"/>
        <v>0</v>
      </c>
      <c r="PD43" s="1308">
        <f t="shared" si="566"/>
        <v>0</v>
      </c>
      <c r="PE43" s="1308">
        <f t="shared" si="566"/>
        <v>0</v>
      </c>
      <c r="PF43" s="1308">
        <f t="shared" si="566"/>
        <v>0</v>
      </c>
      <c r="PG43" s="1308">
        <f t="shared" si="566"/>
        <v>0</v>
      </c>
      <c r="PH43" s="1308">
        <f t="shared" si="566"/>
        <v>0</v>
      </c>
      <c r="PI43" s="1308">
        <f t="shared" si="566"/>
        <v>0</v>
      </c>
      <c r="PJ43" s="1308">
        <f t="shared" si="566"/>
        <v>0</v>
      </c>
      <c r="PK43" s="1308">
        <f t="shared" si="566"/>
        <v>0</v>
      </c>
      <c r="PL43" s="1308">
        <f t="shared" si="566"/>
        <v>0</v>
      </c>
      <c r="PM43" s="1308">
        <f t="shared" si="566"/>
        <v>0</v>
      </c>
      <c r="PN43" s="1308">
        <f t="shared" si="566"/>
        <v>0</v>
      </c>
      <c r="PO43" s="1308">
        <f t="shared" si="566"/>
        <v>0</v>
      </c>
      <c r="PP43" s="1308">
        <f t="shared" si="566"/>
        <v>0</v>
      </c>
      <c r="PQ43" s="1308">
        <f t="shared" si="566"/>
        <v>0</v>
      </c>
      <c r="PR43" s="1308">
        <f t="shared" si="566"/>
        <v>0</v>
      </c>
      <c r="PS43" s="1308">
        <f t="shared" si="566"/>
        <v>0</v>
      </c>
      <c r="PT43" s="1308">
        <f t="shared" si="566"/>
        <v>0</v>
      </c>
      <c r="PU43" s="1308">
        <f t="shared" ref="PU43:SJ43" si="567">PU35</f>
        <v>0</v>
      </c>
      <c r="PV43" s="1308">
        <f t="shared" si="567"/>
        <v>0</v>
      </c>
      <c r="PW43" s="1308">
        <f t="shared" si="567"/>
        <v>0</v>
      </c>
      <c r="PX43" s="1308">
        <f t="shared" si="567"/>
        <v>0</v>
      </c>
      <c r="PY43" s="1308">
        <f t="shared" si="567"/>
        <v>0</v>
      </c>
      <c r="PZ43" s="1308">
        <f t="shared" si="567"/>
        <v>0</v>
      </c>
      <c r="QA43" s="1308">
        <f t="shared" ref="QA43:QG43" si="568">QA35</f>
        <v>0</v>
      </c>
      <c r="QB43" s="1308">
        <f t="shared" si="568"/>
        <v>0</v>
      </c>
      <c r="QC43" s="1308">
        <f t="shared" si="568"/>
        <v>0</v>
      </c>
      <c r="QD43" s="1308">
        <f t="shared" si="568"/>
        <v>0</v>
      </c>
      <c r="QE43" s="1308">
        <f t="shared" si="568"/>
        <v>0</v>
      </c>
      <c r="QF43" s="1308">
        <f t="shared" si="568"/>
        <v>0</v>
      </c>
      <c r="QG43" s="1308">
        <f t="shared" si="568"/>
        <v>0</v>
      </c>
      <c r="QH43" s="1308">
        <f t="shared" si="567"/>
        <v>0</v>
      </c>
      <c r="QI43" s="1308">
        <f t="shared" si="567"/>
        <v>0</v>
      </c>
      <c r="QJ43" s="1308">
        <f t="shared" si="567"/>
        <v>0</v>
      </c>
      <c r="QK43" s="1308">
        <f t="shared" si="567"/>
        <v>0</v>
      </c>
      <c r="QL43" s="1308">
        <f t="shared" si="567"/>
        <v>0</v>
      </c>
      <c r="QM43" s="1308">
        <f t="shared" si="567"/>
        <v>0</v>
      </c>
      <c r="QN43" s="1308">
        <f t="shared" si="567"/>
        <v>0</v>
      </c>
      <c r="QO43" s="1308">
        <f t="shared" si="567"/>
        <v>0</v>
      </c>
      <c r="QP43" s="1308">
        <f t="shared" si="567"/>
        <v>0</v>
      </c>
      <c r="QQ43" s="1308">
        <f t="shared" si="567"/>
        <v>0</v>
      </c>
      <c r="QR43" s="1308">
        <f t="shared" si="567"/>
        <v>0</v>
      </c>
      <c r="QS43" s="1308">
        <f t="shared" si="567"/>
        <v>0</v>
      </c>
      <c r="QT43" s="1308">
        <f t="shared" si="567"/>
        <v>0</v>
      </c>
      <c r="QU43" s="1308">
        <f t="shared" si="567"/>
        <v>0</v>
      </c>
      <c r="QV43" s="1308">
        <f t="shared" si="567"/>
        <v>0</v>
      </c>
      <c r="QW43" s="1308">
        <f t="shared" si="567"/>
        <v>0</v>
      </c>
      <c r="QX43" s="1308">
        <f t="shared" si="567"/>
        <v>0</v>
      </c>
      <c r="QY43" s="1308">
        <f t="shared" si="567"/>
        <v>0</v>
      </c>
      <c r="QZ43" s="1308">
        <f t="shared" si="567"/>
        <v>6974526.3200000003</v>
      </c>
      <c r="RA43" s="1308">
        <f t="shared" si="567"/>
        <v>348726.3200000003</v>
      </c>
      <c r="RB43" s="1308">
        <f t="shared" si="567"/>
        <v>6625800</v>
      </c>
      <c r="RC43" s="1308">
        <f t="shared" si="567"/>
        <v>1639838.96</v>
      </c>
      <c r="RD43" s="1308">
        <f t="shared" si="567"/>
        <v>81991.95</v>
      </c>
      <c r="RE43" s="1308">
        <f t="shared" si="567"/>
        <v>1557847.01</v>
      </c>
      <c r="RF43" s="1308">
        <f t="shared" si="567"/>
        <v>0</v>
      </c>
      <c r="RG43" s="1308">
        <f t="shared" si="567"/>
        <v>0</v>
      </c>
      <c r="RH43" s="1308">
        <f t="shared" si="567"/>
        <v>0</v>
      </c>
      <c r="RI43" s="1308">
        <f t="shared" si="567"/>
        <v>0</v>
      </c>
      <c r="RJ43" s="1308">
        <f t="shared" si="567"/>
        <v>0</v>
      </c>
      <c r="RK43" s="1308">
        <f t="shared" si="567"/>
        <v>0</v>
      </c>
      <c r="RL43" s="1308">
        <f t="shared" si="567"/>
        <v>0</v>
      </c>
      <c r="RM43" s="1308">
        <f t="shared" si="567"/>
        <v>0</v>
      </c>
      <c r="RN43" s="1308">
        <f t="shared" si="567"/>
        <v>0</v>
      </c>
      <c r="RO43" s="1308">
        <f t="shared" si="567"/>
        <v>0</v>
      </c>
      <c r="RP43" s="1308">
        <f t="shared" si="567"/>
        <v>0</v>
      </c>
      <c r="RQ43" s="1308">
        <f t="shared" si="567"/>
        <v>0</v>
      </c>
      <c r="RR43" s="1308">
        <f t="shared" si="567"/>
        <v>0</v>
      </c>
      <c r="RS43" s="1308">
        <f t="shared" si="567"/>
        <v>0</v>
      </c>
      <c r="RT43" s="1308">
        <f t="shared" si="567"/>
        <v>0</v>
      </c>
      <c r="RU43" s="1308">
        <f t="shared" si="567"/>
        <v>0</v>
      </c>
      <c r="RV43" s="1308">
        <f t="shared" si="567"/>
        <v>0</v>
      </c>
      <c r="RW43" s="1308">
        <f t="shared" si="567"/>
        <v>0</v>
      </c>
      <c r="RX43" s="1308">
        <f t="shared" si="567"/>
        <v>0</v>
      </c>
      <c r="RY43" s="1308">
        <f t="shared" si="567"/>
        <v>0</v>
      </c>
      <c r="RZ43" s="1308">
        <f t="shared" si="567"/>
        <v>0</v>
      </c>
      <c r="SA43" s="1308">
        <f t="shared" si="567"/>
        <v>0</v>
      </c>
      <c r="SB43" s="1308">
        <f t="shared" si="567"/>
        <v>0</v>
      </c>
      <c r="SC43" s="1308">
        <f t="shared" si="567"/>
        <v>0</v>
      </c>
      <c r="SD43" s="1308">
        <f t="shared" si="567"/>
        <v>0</v>
      </c>
      <c r="SE43" s="1308">
        <f t="shared" si="567"/>
        <v>0</v>
      </c>
      <c r="SF43" s="1308">
        <f t="shared" si="567"/>
        <v>0</v>
      </c>
      <c r="SG43" s="1308">
        <f t="shared" si="567"/>
        <v>0</v>
      </c>
      <c r="SH43" s="1308">
        <f t="shared" si="567"/>
        <v>0</v>
      </c>
      <c r="SI43" s="1308">
        <f t="shared" si="567"/>
        <v>0</v>
      </c>
      <c r="SJ43" s="1308">
        <f t="shared" si="567"/>
        <v>756325530.1400001</v>
      </c>
      <c r="SK43" s="1308">
        <f t="shared" ref="SK43:UV43" si="569">SK35</f>
        <v>211846070.68000001</v>
      </c>
      <c r="SL43" s="1308">
        <f t="shared" si="569"/>
        <v>141564659.46000004</v>
      </c>
      <c r="SM43" s="1308">
        <f t="shared" si="569"/>
        <v>402914800</v>
      </c>
      <c r="SN43" s="1308">
        <f t="shared" si="569"/>
        <v>359343159.71999997</v>
      </c>
      <c r="SO43" s="1308">
        <f t="shared" si="569"/>
        <v>33305116.539999999</v>
      </c>
      <c r="SP43" s="1308">
        <f t="shared" si="569"/>
        <v>84769891.230000004</v>
      </c>
      <c r="SQ43" s="1308">
        <f t="shared" si="569"/>
        <v>241268151.94999999</v>
      </c>
      <c r="SR43" s="1308">
        <f t="shared" si="569"/>
        <v>0</v>
      </c>
      <c r="SS43" s="1308">
        <f t="shared" si="569"/>
        <v>0</v>
      </c>
      <c r="ST43" s="1308">
        <f t="shared" si="569"/>
        <v>0</v>
      </c>
      <c r="SU43" s="1308">
        <f t="shared" si="569"/>
        <v>0</v>
      </c>
      <c r="SV43" s="1308">
        <f t="shared" si="569"/>
        <v>0</v>
      </c>
      <c r="SW43" s="1308">
        <f t="shared" si="569"/>
        <v>0</v>
      </c>
      <c r="SX43" s="1308">
        <f t="shared" si="569"/>
        <v>13685959.390000001</v>
      </c>
      <c r="SY43" s="1308">
        <f t="shared" si="569"/>
        <v>0</v>
      </c>
      <c r="SZ43" s="1308">
        <f t="shared" si="569"/>
        <v>0</v>
      </c>
      <c r="TA43" s="1308">
        <f t="shared" si="569"/>
        <v>0</v>
      </c>
      <c r="TB43" s="1308">
        <f t="shared" si="569"/>
        <v>0</v>
      </c>
      <c r="TC43" s="1308">
        <f t="shared" si="569"/>
        <v>13685959.390000001</v>
      </c>
      <c r="TD43" s="1308">
        <f t="shared" si="569"/>
        <v>0</v>
      </c>
      <c r="TE43" s="1308">
        <f t="shared" si="569"/>
        <v>0</v>
      </c>
      <c r="TF43" s="1308">
        <f t="shared" si="569"/>
        <v>0</v>
      </c>
      <c r="TG43" s="1308">
        <f t="shared" si="569"/>
        <v>0</v>
      </c>
      <c r="TH43" s="1308">
        <f t="shared" si="569"/>
        <v>0</v>
      </c>
      <c r="TI43" s="1308">
        <f t="shared" si="569"/>
        <v>0</v>
      </c>
      <c r="TJ43" s="1308">
        <f t="shared" si="569"/>
        <v>0</v>
      </c>
      <c r="TK43" s="1308">
        <f t="shared" si="569"/>
        <v>0</v>
      </c>
      <c r="TL43" s="1308">
        <f t="shared" si="569"/>
        <v>0</v>
      </c>
      <c r="TM43" s="1308">
        <f t="shared" si="569"/>
        <v>0</v>
      </c>
      <c r="TN43" s="1308">
        <f t="shared" si="569"/>
        <v>0</v>
      </c>
      <c r="TO43" s="1308">
        <f t="shared" si="569"/>
        <v>0</v>
      </c>
      <c r="TP43" s="1308">
        <f t="shared" si="569"/>
        <v>0</v>
      </c>
      <c r="TQ43" s="1308">
        <f t="shared" si="569"/>
        <v>0</v>
      </c>
      <c r="TR43" s="1308">
        <f t="shared" si="569"/>
        <v>0</v>
      </c>
      <c r="TS43" s="1308">
        <f t="shared" si="569"/>
        <v>0</v>
      </c>
      <c r="TT43" s="1308">
        <f t="shared" si="569"/>
        <v>0</v>
      </c>
      <c r="TU43" s="1308">
        <f t="shared" si="569"/>
        <v>0</v>
      </c>
      <c r="TV43" s="1308">
        <f t="shared" si="569"/>
        <v>0</v>
      </c>
      <c r="TW43" s="1308">
        <f t="shared" si="569"/>
        <v>0</v>
      </c>
      <c r="TX43" s="1308">
        <f t="shared" si="569"/>
        <v>0</v>
      </c>
      <c r="TY43" s="1308">
        <f t="shared" si="569"/>
        <v>0</v>
      </c>
      <c r="TZ43" s="1308">
        <f t="shared" si="569"/>
        <v>0</v>
      </c>
      <c r="UA43" s="1308">
        <f t="shared" si="569"/>
        <v>0</v>
      </c>
      <c r="UB43" s="1308">
        <f t="shared" si="569"/>
        <v>0</v>
      </c>
      <c r="UC43" s="1308">
        <f t="shared" si="569"/>
        <v>0</v>
      </c>
      <c r="UD43" s="1308">
        <f t="shared" si="569"/>
        <v>0</v>
      </c>
      <c r="UE43" s="1308">
        <f t="shared" si="569"/>
        <v>0</v>
      </c>
      <c r="UF43" s="1308">
        <f t="shared" si="569"/>
        <v>0</v>
      </c>
      <c r="UG43" s="1308">
        <f t="shared" si="569"/>
        <v>0</v>
      </c>
      <c r="UH43" s="1308">
        <f t="shared" si="569"/>
        <v>0</v>
      </c>
      <c r="UI43" s="1308">
        <f t="shared" si="569"/>
        <v>0</v>
      </c>
      <c r="UJ43" s="1308">
        <f t="shared" si="569"/>
        <v>0</v>
      </c>
      <c r="UK43" s="1308">
        <f t="shared" si="569"/>
        <v>0</v>
      </c>
      <c r="UL43" s="1308">
        <f t="shared" si="569"/>
        <v>0</v>
      </c>
      <c r="UM43" s="1308">
        <f t="shared" si="569"/>
        <v>0</v>
      </c>
      <c r="UN43" s="1308">
        <f t="shared" si="569"/>
        <v>0</v>
      </c>
      <c r="UO43" s="1308">
        <f t="shared" si="569"/>
        <v>0</v>
      </c>
      <c r="UP43" s="1308">
        <f t="shared" si="569"/>
        <v>0</v>
      </c>
      <c r="UQ43" s="1308">
        <f t="shared" si="569"/>
        <v>0</v>
      </c>
      <c r="UR43" s="1308">
        <f t="shared" si="569"/>
        <v>0</v>
      </c>
      <c r="US43" s="1308">
        <f t="shared" si="569"/>
        <v>0</v>
      </c>
      <c r="UT43" s="1308">
        <f t="shared" si="569"/>
        <v>0</v>
      </c>
      <c r="UU43" s="1308">
        <f t="shared" si="569"/>
        <v>0</v>
      </c>
      <c r="UV43" s="1308">
        <f t="shared" si="569"/>
        <v>0</v>
      </c>
      <c r="UW43" s="1308">
        <f t="shared" ref="UW43:XH43" si="570">UW35</f>
        <v>0</v>
      </c>
      <c r="UX43" s="1308">
        <f t="shared" si="570"/>
        <v>0</v>
      </c>
      <c r="UY43" s="1308">
        <f t="shared" si="570"/>
        <v>0</v>
      </c>
      <c r="UZ43" s="1308">
        <f t="shared" si="570"/>
        <v>0</v>
      </c>
      <c r="VA43" s="1308">
        <f t="shared" si="570"/>
        <v>0</v>
      </c>
      <c r="VB43" s="1308">
        <f t="shared" si="570"/>
        <v>1939459034.3500001</v>
      </c>
      <c r="VC43" s="1308">
        <f t="shared" si="570"/>
        <v>522929472.51000005</v>
      </c>
      <c r="VD43" s="1308">
        <f t="shared" si="570"/>
        <v>0</v>
      </c>
      <c r="VE43" s="1308">
        <f t="shared" si="570"/>
        <v>0</v>
      </c>
      <c r="VF43" s="1308">
        <f t="shared" si="570"/>
        <v>0</v>
      </c>
      <c r="VG43" s="1308">
        <f t="shared" si="570"/>
        <v>0</v>
      </c>
      <c r="VH43" s="1308">
        <f t="shared" si="570"/>
        <v>0</v>
      </c>
      <c r="VI43" s="1308">
        <f t="shared" si="570"/>
        <v>0</v>
      </c>
      <c r="VJ43" s="1308">
        <f t="shared" si="570"/>
        <v>8357986225.0400009</v>
      </c>
      <c r="VK43" s="1308">
        <f t="shared" si="570"/>
        <v>8097662465.5200005</v>
      </c>
      <c r="VL43" s="1308">
        <f t="shared" si="570"/>
        <v>260323759.52000001</v>
      </c>
      <c r="VM43" s="1308">
        <f t="shared" si="570"/>
        <v>4578427458.4899998</v>
      </c>
      <c r="VN43" s="1308">
        <f t="shared" si="570"/>
        <v>4440156282.4899998</v>
      </c>
      <c r="VO43" s="1308">
        <f t="shared" si="570"/>
        <v>138271176</v>
      </c>
      <c r="VP43" s="1308">
        <f t="shared" si="570"/>
        <v>7856190010.2799997</v>
      </c>
      <c r="VQ43" s="1308">
        <f t="shared" si="570"/>
        <v>4312662957.79</v>
      </c>
      <c r="VR43" s="1308">
        <f t="shared" si="570"/>
        <v>149755245</v>
      </c>
      <c r="VS43" s="1308">
        <f t="shared" si="570"/>
        <v>78300000</v>
      </c>
      <c r="VT43" s="1308">
        <f t="shared" si="570"/>
        <v>0</v>
      </c>
      <c r="VU43" s="1308">
        <f t="shared" si="570"/>
        <v>0</v>
      </c>
      <c r="VV43" s="1308">
        <f t="shared" si="570"/>
        <v>0</v>
      </c>
      <c r="VW43" s="1308">
        <f t="shared" si="570"/>
        <v>0</v>
      </c>
      <c r="VX43" s="1308">
        <f t="shared" si="570"/>
        <v>63100</v>
      </c>
      <c r="VY43" s="1308">
        <f t="shared" si="570"/>
        <v>0</v>
      </c>
      <c r="VZ43" s="1308">
        <f t="shared" si="570"/>
        <v>0</v>
      </c>
      <c r="WA43" s="1308">
        <f t="shared" si="570"/>
        <v>0</v>
      </c>
      <c r="WB43" s="1308">
        <f t="shared" si="570"/>
        <v>0</v>
      </c>
      <c r="WC43" s="1308">
        <f t="shared" si="570"/>
        <v>0</v>
      </c>
      <c r="WD43" s="1308">
        <f t="shared" si="570"/>
        <v>7674600</v>
      </c>
      <c r="WE43" s="1308">
        <f t="shared" si="570"/>
        <v>3105098</v>
      </c>
      <c r="WF43" s="1308">
        <f t="shared" si="570"/>
        <v>339825756.09999996</v>
      </c>
      <c r="WG43" s="1308">
        <f t="shared" si="570"/>
        <v>88354696.579999983</v>
      </c>
      <c r="WH43" s="1308">
        <f t="shared" si="570"/>
        <v>251471059.52000001</v>
      </c>
      <c r="WI43" s="1308">
        <f t="shared" si="570"/>
        <v>181797402.70000002</v>
      </c>
      <c r="WJ43" s="1308">
        <f t="shared" si="570"/>
        <v>47267324.700000003</v>
      </c>
      <c r="WK43" s="1308">
        <f t="shared" si="570"/>
        <v>134530078</v>
      </c>
      <c r="WL43" s="1308">
        <f t="shared" si="570"/>
        <v>4477513.66</v>
      </c>
      <c r="WM43" s="1308">
        <f t="shared" si="570"/>
        <v>3362513.66</v>
      </c>
      <c r="WN43" s="1308">
        <f t="shared" si="570"/>
        <v>1115000</v>
      </c>
      <c r="WO43" s="1308">
        <f t="shared" si="570"/>
        <v>2562000</v>
      </c>
      <c r="WP43" s="1308">
        <f t="shared" si="570"/>
        <v>1926000</v>
      </c>
      <c r="WQ43" s="1308">
        <f t="shared" si="570"/>
        <v>636000</v>
      </c>
      <c r="WR43" s="1308">
        <f t="shared" si="570"/>
        <v>1259574811.71</v>
      </c>
      <c r="WS43" s="1308">
        <f t="shared" si="570"/>
        <v>458357296.07000005</v>
      </c>
      <c r="WT43" s="1308">
        <f t="shared" si="570"/>
        <v>96014740</v>
      </c>
      <c r="WU43" s="1308">
        <f t="shared" si="570"/>
        <v>4800739.34</v>
      </c>
      <c r="WV43" s="1308">
        <f t="shared" si="570"/>
        <v>91214000.659999996</v>
      </c>
      <c r="WW43" s="1308">
        <f t="shared" si="570"/>
        <v>877099.58</v>
      </c>
      <c r="WX43" s="1308">
        <f t="shared" si="570"/>
        <v>43855.01</v>
      </c>
      <c r="WY43" s="1308">
        <f t="shared" si="570"/>
        <v>833244.57</v>
      </c>
      <c r="WZ43" s="1308">
        <f t="shared" si="570"/>
        <v>20771410.530000001</v>
      </c>
      <c r="XA43" s="1308">
        <f t="shared" si="570"/>
        <v>1038570.53</v>
      </c>
      <c r="XB43" s="1308">
        <f t="shared" si="570"/>
        <v>19732840</v>
      </c>
      <c r="XC43" s="1308">
        <f t="shared" si="570"/>
        <v>13570702.01</v>
      </c>
      <c r="XD43" s="1308">
        <f t="shared" si="570"/>
        <v>678535.1100000001</v>
      </c>
      <c r="XE43" s="1308">
        <f t="shared" si="570"/>
        <v>12892166.9</v>
      </c>
      <c r="XF43" s="1308">
        <f t="shared" si="570"/>
        <v>217125291</v>
      </c>
      <c r="XG43" s="1308">
        <f t="shared" si="570"/>
        <v>0</v>
      </c>
      <c r="XH43" s="1308">
        <f t="shared" si="570"/>
        <v>217125291</v>
      </c>
      <c r="XI43" s="1308">
        <f t="shared" ref="XI43:ZT43" si="571">XI35</f>
        <v>154512960</v>
      </c>
      <c r="XJ43" s="1308">
        <f t="shared" si="571"/>
        <v>0</v>
      </c>
      <c r="XK43" s="1308">
        <f t="shared" si="571"/>
        <v>154512960</v>
      </c>
      <c r="XL43" s="1308">
        <f t="shared" si="571"/>
        <v>0</v>
      </c>
      <c r="XM43" s="1308">
        <f t="shared" si="571"/>
        <v>0</v>
      </c>
      <c r="XN43" s="1308">
        <f t="shared" si="571"/>
        <v>0</v>
      </c>
      <c r="XO43" s="1308">
        <f t="shared" si="571"/>
        <v>0</v>
      </c>
      <c r="XP43" s="1308">
        <f t="shared" si="571"/>
        <v>0</v>
      </c>
      <c r="XQ43" s="1308">
        <f t="shared" si="571"/>
        <v>0</v>
      </c>
      <c r="XR43" s="1308">
        <f t="shared" si="571"/>
        <v>0</v>
      </c>
      <c r="XS43" s="1308">
        <f t="shared" si="571"/>
        <v>0</v>
      </c>
      <c r="XT43" s="1308">
        <f t="shared" si="571"/>
        <v>0</v>
      </c>
      <c r="XU43" s="1308">
        <f t="shared" si="571"/>
        <v>0</v>
      </c>
      <c r="XV43" s="1308">
        <f t="shared" si="571"/>
        <v>0</v>
      </c>
      <c r="XW43" s="1308">
        <f t="shared" si="571"/>
        <v>0</v>
      </c>
      <c r="XX43" s="1308">
        <f t="shared" si="571"/>
        <v>925663370.18000007</v>
      </c>
      <c r="XY43" s="1308">
        <f t="shared" si="571"/>
        <v>335640263.04000002</v>
      </c>
      <c r="XZ43" s="1308">
        <f t="shared" si="571"/>
        <v>123634488</v>
      </c>
      <c r="YA43" s="1308">
        <f t="shared" si="571"/>
        <v>0</v>
      </c>
      <c r="YB43" s="1308">
        <f t="shared" si="571"/>
        <v>355374797.69</v>
      </c>
      <c r="YC43" s="1308">
        <f t="shared" si="571"/>
        <v>0</v>
      </c>
      <c r="YD43" s="1308">
        <f t="shared" si="571"/>
        <v>95774236.409999996</v>
      </c>
      <c r="YE43" s="1308">
        <f t="shared" si="571"/>
        <v>0</v>
      </c>
      <c r="YF43" s="1308">
        <f t="shared" si="571"/>
        <v>0</v>
      </c>
      <c r="YG43" s="1308">
        <f t="shared" si="571"/>
        <v>0</v>
      </c>
      <c r="YH43" s="1308">
        <f t="shared" si="571"/>
        <v>15239585.040000001</v>
      </c>
      <c r="YI43" s="1308">
        <f t="shared" si="571"/>
        <v>289396534.48000002</v>
      </c>
      <c r="YJ43" s="1308">
        <f t="shared" si="571"/>
        <v>132231129.48</v>
      </c>
      <c r="YK43" s="1308">
        <f t="shared" si="571"/>
        <v>0</v>
      </c>
      <c r="YL43" s="1308">
        <f t="shared" si="571"/>
        <v>0</v>
      </c>
      <c r="YM43" s="1308">
        <f t="shared" si="571"/>
        <v>151401068.86000001</v>
      </c>
      <c r="YN43" s="1308">
        <f t="shared" si="571"/>
        <v>0</v>
      </c>
      <c r="YO43" s="1308">
        <f t="shared" si="571"/>
        <v>1330149.97</v>
      </c>
      <c r="YP43" s="1308">
        <f t="shared" si="571"/>
        <v>0</v>
      </c>
      <c r="YQ43" s="1308">
        <f t="shared" si="571"/>
        <v>0</v>
      </c>
      <c r="YR43" s="1308">
        <f t="shared" si="571"/>
        <v>0</v>
      </c>
      <c r="YS43" s="1308">
        <f t="shared" si="571"/>
        <v>4434186.17</v>
      </c>
      <c r="YT43" s="1308">
        <f t="shared" si="571"/>
        <v>0</v>
      </c>
      <c r="YU43" s="1308">
        <f t="shared" si="571"/>
        <v>0</v>
      </c>
      <c r="YV43" s="1308">
        <f t="shared" si="571"/>
        <v>0</v>
      </c>
      <c r="YW43" s="1308">
        <f t="shared" si="571"/>
        <v>0</v>
      </c>
      <c r="YX43" s="1308">
        <f t="shared" si="571"/>
        <v>0</v>
      </c>
      <c r="YY43" s="1308">
        <f t="shared" si="571"/>
        <v>0</v>
      </c>
      <c r="YZ43" s="1308">
        <f t="shared" si="571"/>
        <v>0</v>
      </c>
      <c r="ZA43" s="1308">
        <f t="shared" si="571"/>
        <v>0</v>
      </c>
      <c r="ZB43" s="1308">
        <f t="shared" si="571"/>
        <v>0</v>
      </c>
      <c r="ZC43" s="1308">
        <f t="shared" si="571"/>
        <v>0</v>
      </c>
      <c r="ZD43" s="1308">
        <f t="shared" si="571"/>
        <v>0</v>
      </c>
      <c r="ZE43" s="1308">
        <f t="shared" si="571"/>
        <v>0</v>
      </c>
      <c r="ZF43" s="1308">
        <f t="shared" si="571"/>
        <v>0</v>
      </c>
      <c r="ZG43" s="1308">
        <f t="shared" si="571"/>
        <v>0</v>
      </c>
      <c r="ZH43" s="1308">
        <f t="shared" si="571"/>
        <v>0</v>
      </c>
      <c r="ZI43" s="1308">
        <f t="shared" si="571"/>
        <v>0</v>
      </c>
      <c r="ZJ43" s="1308">
        <f t="shared" si="571"/>
        <v>0</v>
      </c>
      <c r="ZK43" s="1308">
        <f t="shared" si="571"/>
        <v>0</v>
      </c>
      <c r="ZL43" s="1308">
        <f t="shared" si="571"/>
        <v>0</v>
      </c>
      <c r="ZM43" s="1308">
        <f t="shared" si="571"/>
        <v>0</v>
      </c>
      <c r="ZN43" s="1308">
        <f t="shared" si="571"/>
        <v>0</v>
      </c>
      <c r="ZO43" s="1308">
        <f t="shared" si="571"/>
        <v>0</v>
      </c>
      <c r="ZP43" s="1308">
        <f t="shared" si="571"/>
        <v>0</v>
      </c>
      <c r="ZQ43" s="1308">
        <f t="shared" si="571"/>
        <v>0</v>
      </c>
      <c r="ZR43" s="1308">
        <f t="shared" si="571"/>
        <v>0</v>
      </c>
      <c r="ZS43" s="1308">
        <f t="shared" si="571"/>
        <v>0</v>
      </c>
      <c r="ZT43" s="1308">
        <f t="shared" si="571"/>
        <v>0</v>
      </c>
      <c r="ZU43" s="1308">
        <f t="shared" ref="ZU43:AAU43" si="572">ZU35</f>
        <v>0</v>
      </c>
      <c r="ZV43" s="1308">
        <f t="shared" si="572"/>
        <v>0</v>
      </c>
      <c r="ZW43" s="1308">
        <f t="shared" si="572"/>
        <v>0</v>
      </c>
      <c r="ZX43" s="1308">
        <f t="shared" si="572"/>
        <v>0</v>
      </c>
      <c r="ZY43" s="1308">
        <f t="shared" si="572"/>
        <v>0</v>
      </c>
      <c r="ZZ43" s="1308">
        <f t="shared" si="572"/>
        <v>0</v>
      </c>
      <c r="AAA43" s="1308">
        <f t="shared" si="572"/>
        <v>0</v>
      </c>
      <c r="AAB43" s="1308">
        <f t="shared" si="572"/>
        <v>0</v>
      </c>
      <c r="AAC43" s="1308">
        <f t="shared" si="572"/>
        <v>0</v>
      </c>
      <c r="AAD43" s="1308">
        <f t="shared" si="572"/>
        <v>-1600900000.1600001</v>
      </c>
      <c r="AAE43" s="1308">
        <f t="shared" si="572"/>
        <v>-30000000</v>
      </c>
      <c r="AAF43" s="1308">
        <f t="shared" si="572"/>
        <v>0</v>
      </c>
      <c r="AAG43" s="1308">
        <f t="shared" si="572"/>
        <v>0</v>
      </c>
      <c r="AAH43" s="1308">
        <f t="shared" si="572"/>
        <v>0</v>
      </c>
      <c r="AAI43" s="1308">
        <f t="shared" si="572"/>
        <v>0</v>
      </c>
      <c r="AAJ43" s="1308">
        <f t="shared" si="572"/>
        <v>0</v>
      </c>
      <c r="AAK43" s="1308">
        <f t="shared" si="572"/>
        <v>0</v>
      </c>
      <c r="AAL43" s="1308">
        <f t="shared" si="572"/>
        <v>0</v>
      </c>
      <c r="AAM43" s="1308">
        <f t="shared" si="572"/>
        <v>0</v>
      </c>
      <c r="AAN43" s="1308">
        <f t="shared" si="572"/>
        <v>-1600900000.1600001</v>
      </c>
      <c r="AAO43" s="1308">
        <f t="shared" si="572"/>
        <v>-30000000</v>
      </c>
      <c r="AAP43" s="1308">
        <f t="shared" si="572"/>
        <v>0</v>
      </c>
      <c r="AAQ43" s="1308">
        <f t="shared" si="572"/>
        <v>0</v>
      </c>
      <c r="AAR43" s="1308">
        <f t="shared" si="572"/>
        <v>0</v>
      </c>
      <c r="AAS43" s="1308">
        <f t="shared" si="572"/>
        <v>0</v>
      </c>
      <c r="AAT43" s="1308">
        <f t="shared" si="572"/>
        <v>0</v>
      </c>
      <c r="AAU43" s="1308">
        <f t="shared" si="572"/>
        <v>0</v>
      </c>
      <c r="AAV43" s="993"/>
      <c r="AAW43" s="694"/>
    </row>
    <row r="44" spans="1:725" ht="16.5" x14ac:dyDescent="0.25">
      <c r="A44" s="999"/>
      <c r="B44" s="1309"/>
      <c r="C44" s="993"/>
      <c r="D44" s="993"/>
      <c r="E44" s="993"/>
      <c r="F44" s="993"/>
      <c r="G44" s="993"/>
      <c r="H44" s="694"/>
      <c r="I44" s="694"/>
      <c r="J44" s="694"/>
      <c r="K44" s="694"/>
      <c r="L44" s="694"/>
      <c r="M44" s="694"/>
      <c r="N44" s="993"/>
      <c r="O44" s="993"/>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993"/>
      <c r="AO44" s="694"/>
      <c r="AP44" s="694"/>
      <c r="AQ44" s="993"/>
      <c r="AR44" s="993"/>
      <c r="AS44" s="694"/>
      <c r="AT44" s="993"/>
      <c r="AU44" s="993"/>
      <c r="AV44" s="694"/>
      <c r="AW44" s="993"/>
      <c r="AX44" s="694"/>
      <c r="AY44" s="993"/>
      <c r="AZ44" s="694"/>
      <c r="BA44" s="993"/>
      <c r="BB44" s="694"/>
      <c r="BC44" s="993"/>
      <c r="BD44" s="694"/>
      <c r="BE44" s="993"/>
      <c r="BF44" s="694"/>
      <c r="BG44" s="993"/>
      <c r="BH44" s="993"/>
      <c r="BI44" s="993"/>
      <c r="BJ44" s="993"/>
      <c r="BK44" s="993"/>
      <c r="BL44" s="694"/>
      <c r="BM44" s="694"/>
      <c r="BN44" s="694"/>
      <c r="BO44" s="694"/>
      <c r="BP44" s="694"/>
      <c r="BQ44" s="694"/>
      <c r="BR44" s="694"/>
      <c r="BS44" s="694"/>
      <c r="BT44" s="993"/>
      <c r="BU44" s="993"/>
      <c r="BV44" s="694"/>
      <c r="BW44" s="694"/>
      <c r="BX44" s="694"/>
      <c r="BY44" s="694"/>
      <c r="BZ44" s="694"/>
      <c r="CA44" s="694"/>
      <c r="CB44" s="1185"/>
      <c r="CC44" s="1185"/>
      <c r="CD44" s="1185"/>
      <c r="CE44" s="1185"/>
      <c r="CF44" s="1185"/>
      <c r="CG44" s="1185"/>
      <c r="CH44" s="993"/>
      <c r="CI44" s="993"/>
      <c r="CJ44" s="694"/>
      <c r="CK44" s="694"/>
      <c r="CL44" s="694"/>
      <c r="CM44" s="694"/>
      <c r="CN44" s="694"/>
      <c r="CO44" s="694"/>
      <c r="CP44" s="996"/>
      <c r="CQ44" s="996"/>
      <c r="CR44" s="996"/>
      <c r="CS44" s="996"/>
      <c r="CT44" s="996"/>
      <c r="CU44" s="996"/>
      <c r="CV44" s="996"/>
      <c r="CW44" s="996"/>
      <c r="CX44" s="996"/>
      <c r="CY44" s="996"/>
      <c r="CZ44" s="996"/>
      <c r="DA44" s="996"/>
      <c r="DB44" s="996"/>
      <c r="DC44" s="996"/>
      <c r="DD44" s="996"/>
      <c r="DE44" s="996"/>
      <c r="DF44" s="996"/>
      <c r="DG44" s="996"/>
      <c r="DH44" s="996"/>
      <c r="DI44" s="996"/>
      <c r="DJ44" s="996"/>
      <c r="DK44" s="996"/>
      <c r="DL44" s="996"/>
      <c r="DM44" s="996"/>
      <c r="DN44" s="996"/>
      <c r="DO44" s="996"/>
      <c r="DP44" s="996"/>
      <c r="DQ44" s="996"/>
      <c r="DR44" s="996"/>
      <c r="DS44" s="996"/>
      <c r="DT44" s="996"/>
      <c r="DU44" s="996"/>
      <c r="DV44" s="996"/>
      <c r="DW44" s="996"/>
      <c r="DX44" s="996"/>
      <c r="DY44" s="996"/>
      <c r="DZ44" s="996"/>
      <c r="EA44" s="996"/>
      <c r="EB44" s="996"/>
      <c r="EC44" s="996"/>
      <c r="ED44" s="996"/>
      <c r="EE44" s="996"/>
      <c r="EF44" s="996"/>
      <c r="EG44" s="996"/>
      <c r="EH44" s="694"/>
      <c r="EI44" s="694"/>
      <c r="EJ44" s="694"/>
      <c r="EK44" s="694"/>
      <c r="EL44" s="694"/>
      <c r="EM44" s="694"/>
      <c r="EN44" s="996"/>
      <c r="EO44" s="996"/>
      <c r="EP44" s="996"/>
      <c r="EQ44" s="996"/>
      <c r="ER44" s="996"/>
      <c r="ES44" s="996"/>
      <c r="ET44" s="996"/>
      <c r="EU44" s="996"/>
      <c r="EV44" s="996"/>
      <c r="EW44" s="996"/>
      <c r="EX44" s="996"/>
      <c r="EY44" s="996"/>
      <c r="EZ44" s="1304"/>
      <c r="FA44" s="1304"/>
      <c r="FB44" s="996"/>
      <c r="FC44" s="996"/>
      <c r="FD44" s="996"/>
      <c r="FE44" s="996"/>
      <c r="FF44" s="996"/>
      <c r="FG44" s="996"/>
      <c r="FH44" s="996"/>
      <c r="FI44" s="996"/>
      <c r="FJ44" s="996"/>
      <c r="FK44" s="996"/>
      <c r="FL44" s="996"/>
      <c r="FM44" s="996"/>
      <c r="FN44" s="996"/>
      <c r="FO44" s="996"/>
      <c r="FP44" s="996"/>
      <c r="FQ44" s="996"/>
      <c r="FR44" s="996"/>
      <c r="FS44" s="996"/>
      <c r="FT44" s="996"/>
      <c r="FU44" s="996"/>
      <c r="FV44" s="996"/>
      <c r="FW44" s="996"/>
      <c r="FX44" s="996"/>
      <c r="FY44" s="996"/>
      <c r="FZ44" s="996"/>
      <c r="GA44" s="996"/>
      <c r="GB44" s="996"/>
      <c r="GC44" s="996"/>
      <c r="GD44" s="996"/>
      <c r="GE44" s="996"/>
      <c r="GF44" s="996"/>
      <c r="GG44" s="996"/>
      <c r="GH44" s="996"/>
      <c r="GI44" s="996"/>
      <c r="GJ44" s="996"/>
      <c r="GK44" s="996"/>
      <c r="GL44" s="996"/>
      <c r="GM44" s="996"/>
      <c r="GN44" s="996"/>
      <c r="GO44" s="996"/>
      <c r="GP44" s="996"/>
      <c r="GQ44" s="996"/>
      <c r="GR44" s="996"/>
      <c r="GS44" s="996"/>
      <c r="GT44" s="996"/>
      <c r="GU44" s="996"/>
      <c r="GV44" s="996"/>
      <c r="GW44" s="996"/>
      <c r="GX44" s="996"/>
      <c r="GY44" s="993"/>
      <c r="GZ44" s="996"/>
      <c r="HA44" s="996"/>
      <c r="HB44" s="996"/>
      <c r="HC44" s="1246"/>
      <c r="HD44" s="1246"/>
      <c r="HE44" s="992"/>
      <c r="HF44" s="1246"/>
      <c r="HG44" s="992"/>
      <c r="HH44" s="1246"/>
      <c r="HI44" s="1246"/>
      <c r="HJ44" s="1246"/>
      <c r="HK44" s="1246"/>
      <c r="HL44" s="996"/>
      <c r="HM44" s="996"/>
      <c r="HN44" s="996"/>
      <c r="HO44" s="996"/>
      <c r="HP44" s="996"/>
      <c r="HQ44" s="996"/>
      <c r="HR44" s="996"/>
      <c r="HS44" s="996"/>
      <c r="HT44" s="996"/>
      <c r="HU44" s="996"/>
      <c r="HV44" s="996"/>
      <c r="HW44" s="996"/>
      <c r="HX44" s="996"/>
      <c r="HY44" s="996"/>
      <c r="HZ44" s="996"/>
      <c r="IA44" s="996"/>
      <c r="IB44" s="996"/>
      <c r="IC44" s="996"/>
      <c r="ID44" s="996"/>
      <c r="IE44" s="996"/>
      <c r="IF44" s="996"/>
      <c r="IG44" s="996"/>
      <c r="IH44" s="996"/>
      <c r="II44" s="996"/>
      <c r="IJ44" s="996"/>
      <c r="IK44" s="996"/>
      <c r="IL44" s="996"/>
      <c r="IM44" s="996"/>
      <c r="IN44" s="996"/>
      <c r="IO44" s="996"/>
      <c r="IP44" s="996"/>
      <c r="IQ44" s="996"/>
      <c r="IR44" s="996"/>
      <c r="IS44" s="996"/>
      <c r="IT44" s="996"/>
      <c r="IU44" s="996"/>
      <c r="IV44" s="996"/>
      <c r="IW44" s="996"/>
      <c r="IX44" s="996"/>
      <c r="IY44" s="996"/>
      <c r="IZ44" s="996"/>
      <c r="JA44" s="996"/>
      <c r="JB44" s="996"/>
      <c r="JC44" s="996"/>
      <c r="JD44" s="996"/>
      <c r="JE44" s="996"/>
      <c r="JF44" s="996"/>
      <c r="JG44" s="996"/>
      <c r="JH44" s="996"/>
      <c r="JI44" s="996"/>
      <c r="JJ44" s="996"/>
      <c r="JK44" s="996"/>
      <c r="JL44" s="996"/>
      <c r="JM44" s="996"/>
      <c r="JN44" s="996"/>
      <c r="JO44" s="996"/>
      <c r="JP44" s="996"/>
      <c r="JQ44" s="996"/>
      <c r="JR44" s="993"/>
      <c r="JS44" s="993"/>
      <c r="JT44" s="993"/>
      <c r="JU44" s="993"/>
      <c r="JV44" s="993"/>
      <c r="JW44" s="993"/>
      <c r="JX44" s="694"/>
      <c r="JY44" s="694"/>
      <c r="JZ44" s="694"/>
      <c r="KA44" s="694"/>
      <c r="KB44" s="694"/>
      <c r="KC44" s="694"/>
      <c r="KD44" s="992"/>
      <c r="KE44" s="992"/>
      <c r="KF44" s="992"/>
      <c r="KG44" s="992"/>
      <c r="KH44" s="992"/>
      <c r="KI44" s="992"/>
      <c r="KJ44" s="992"/>
      <c r="KK44" s="992"/>
      <c r="KL44" s="992"/>
      <c r="KM44" s="992"/>
      <c r="KN44" s="992"/>
      <c r="KO44" s="992"/>
      <c r="KP44" s="992"/>
      <c r="KQ44" s="1246"/>
      <c r="KR44" s="1246"/>
      <c r="KS44" s="1246"/>
      <c r="KT44" s="1246"/>
      <c r="KU44" s="992"/>
      <c r="KV44" s="1246"/>
      <c r="KW44" s="1246"/>
      <c r="KX44" s="1246"/>
      <c r="KY44" s="1246"/>
      <c r="KZ44" s="992"/>
      <c r="LA44" s="992"/>
      <c r="LB44" s="992"/>
      <c r="LC44" s="992"/>
      <c r="LD44" s="992"/>
      <c r="LE44" s="992"/>
      <c r="LF44" s="992"/>
      <c r="LG44" s="992"/>
      <c r="LH44" s="992"/>
      <c r="LI44" s="992"/>
      <c r="LJ44" s="992"/>
      <c r="LK44" s="992"/>
      <c r="LL44" s="992"/>
      <c r="LM44" s="992"/>
      <c r="LN44" s="992"/>
      <c r="LO44" s="992"/>
      <c r="LP44" s="992"/>
      <c r="LQ44" s="992"/>
      <c r="LR44" s="992"/>
      <c r="LS44" s="992"/>
      <c r="LT44" s="992"/>
      <c r="LU44" s="992"/>
      <c r="LV44" s="992"/>
      <c r="LW44" s="996"/>
      <c r="LX44" s="996"/>
      <c r="LY44" s="996"/>
      <c r="LZ44" s="992"/>
      <c r="MA44" s="996"/>
      <c r="MB44" s="996"/>
      <c r="MC44" s="996"/>
      <c r="MD44" s="996"/>
      <c r="ME44" s="996"/>
      <c r="MF44" s="992"/>
      <c r="MG44" s="992"/>
      <c r="MH44" s="996"/>
      <c r="MI44" s="996"/>
      <c r="MJ44" s="996"/>
      <c r="MK44" s="996"/>
      <c r="ML44" s="996"/>
      <c r="MM44" s="996"/>
      <c r="MN44" s="996"/>
      <c r="MO44" s="996"/>
      <c r="MP44" s="996"/>
      <c r="MQ44" s="996"/>
      <c r="MR44" s="996"/>
      <c r="MS44" s="996"/>
      <c r="MT44" s="996"/>
      <c r="MU44" s="996"/>
      <c r="MV44" s="996"/>
      <c r="MW44" s="996"/>
      <c r="MX44" s="996"/>
      <c r="MY44" s="996"/>
      <c r="MZ44" s="996"/>
      <c r="NA44" s="996"/>
      <c r="NB44" s="1185"/>
      <c r="NC44" s="996"/>
      <c r="ND44" s="996"/>
      <c r="NE44" s="996"/>
      <c r="NF44" s="996"/>
      <c r="NG44" s="996"/>
      <c r="NH44" s="996"/>
      <c r="NI44" s="996"/>
      <c r="NJ44" s="1185"/>
      <c r="NK44" s="996"/>
      <c r="NL44" s="996"/>
      <c r="NM44" s="996"/>
      <c r="NN44" s="996"/>
      <c r="NO44" s="996"/>
      <c r="NP44" s="996"/>
      <c r="NQ44" s="996"/>
      <c r="NR44" s="1185"/>
      <c r="NS44" s="1185"/>
      <c r="NT44" s="1185"/>
      <c r="NU44" s="1185"/>
      <c r="NV44" s="1185"/>
      <c r="NW44" s="1185"/>
      <c r="NX44" s="1185"/>
      <c r="NY44" s="1185"/>
      <c r="NZ44" s="1185"/>
      <c r="OA44" s="1185"/>
      <c r="OB44" s="1185"/>
      <c r="OC44" s="1185"/>
      <c r="OD44" s="1185"/>
      <c r="OE44" s="1185"/>
      <c r="OF44" s="1185"/>
      <c r="OG44" s="1185"/>
      <c r="OH44" s="1185"/>
      <c r="OI44" s="1185"/>
      <c r="OJ44" s="694"/>
      <c r="OK44" s="694"/>
      <c r="OL44" s="694"/>
      <c r="OM44" s="694"/>
      <c r="ON44" s="694"/>
      <c r="OO44" s="694"/>
      <c r="OP44" s="992"/>
      <c r="OQ44" s="992"/>
      <c r="OR44" s="993"/>
      <c r="OS44" s="993"/>
      <c r="OT44" s="993"/>
      <c r="OU44" s="993"/>
      <c r="OV44" s="993"/>
      <c r="OW44" s="993"/>
      <c r="OX44" s="993"/>
      <c r="OY44" s="993"/>
      <c r="OZ44" s="694"/>
      <c r="PA44" s="694"/>
      <c r="PB44" s="694"/>
      <c r="PC44" s="694"/>
      <c r="PD44" s="694"/>
      <c r="PE44" s="694"/>
      <c r="PF44" s="694"/>
      <c r="PG44" s="694"/>
      <c r="PH44" s="992"/>
      <c r="PI44" s="992"/>
      <c r="PJ44" s="992"/>
      <c r="PK44" s="992"/>
      <c r="PL44" s="992"/>
      <c r="PM44" s="992"/>
      <c r="PN44" s="992"/>
      <c r="PO44" s="992"/>
      <c r="PP44" s="992"/>
      <c r="PQ44" s="992"/>
      <c r="PR44" s="992"/>
      <c r="PS44" s="992"/>
      <c r="PT44" s="992"/>
      <c r="PU44" s="992"/>
      <c r="PV44" s="992"/>
      <c r="PW44" s="992"/>
      <c r="PX44" s="992"/>
      <c r="PY44" s="1305"/>
      <c r="PZ44" s="1305"/>
      <c r="QA44" s="1305"/>
      <c r="QB44" s="1305"/>
      <c r="QC44" s="992"/>
      <c r="QD44" s="1305"/>
      <c r="QE44" s="1305"/>
      <c r="QF44" s="1305"/>
      <c r="QG44" s="1305"/>
      <c r="QH44" s="694"/>
      <c r="QI44" s="694"/>
      <c r="QJ44" s="694"/>
      <c r="QK44" s="694"/>
      <c r="QL44" s="694"/>
      <c r="QM44" s="694"/>
      <c r="QN44" s="694"/>
      <c r="QO44" s="694"/>
      <c r="QP44" s="694"/>
      <c r="QQ44" s="694"/>
      <c r="QR44" s="694"/>
      <c r="QS44" s="694"/>
      <c r="QT44" s="694"/>
      <c r="QU44" s="694"/>
      <c r="QV44" s="694"/>
      <c r="QW44" s="694"/>
      <c r="QX44" s="694"/>
      <c r="QY44" s="694"/>
      <c r="QZ44" s="996"/>
      <c r="RA44" s="996"/>
      <c r="RB44" s="996"/>
      <c r="RC44" s="996"/>
      <c r="RD44" s="996"/>
      <c r="RE44" s="996"/>
      <c r="RF44" s="996"/>
      <c r="RG44" s="996"/>
      <c r="RH44" s="996"/>
      <c r="RI44" s="996"/>
      <c r="RJ44" s="996"/>
      <c r="RK44" s="996"/>
      <c r="RL44" s="996"/>
      <c r="RM44" s="996"/>
      <c r="RN44" s="996"/>
      <c r="RO44" s="996"/>
      <c r="RP44" s="996"/>
      <c r="RQ44" s="996"/>
      <c r="RR44" s="996"/>
      <c r="RS44" s="996"/>
      <c r="RT44" s="996"/>
      <c r="RU44" s="996"/>
      <c r="RV44" s="996"/>
      <c r="RW44" s="996"/>
      <c r="RX44" s="996"/>
      <c r="RY44" s="996"/>
      <c r="RZ44" s="996"/>
      <c r="SA44" s="996"/>
      <c r="SB44" s="996"/>
      <c r="SC44" s="996"/>
      <c r="SD44" s="996"/>
      <c r="SE44" s="996"/>
      <c r="SF44" s="996"/>
      <c r="SG44" s="996"/>
      <c r="SH44" s="996"/>
      <c r="SI44" s="996"/>
      <c r="SJ44" s="996"/>
      <c r="SK44" s="996"/>
      <c r="SL44" s="996"/>
      <c r="SM44" s="996"/>
      <c r="SN44" s="996"/>
      <c r="SO44" s="996"/>
      <c r="SP44" s="996"/>
      <c r="SQ44" s="996"/>
      <c r="SR44" s="996"/>
      <c r="SS44" s="996"/>
      <c r="ST44" s="996"/>
      <c r="SU44" s="996"/>
      <c r="SV44" s="996"/>
      <c r="SW44" s="996"/>
      <c r="SX44" s="694"/>
      <c r="SY44" s="993"/>
      <c r="SZ44" s="993"/>
      <c r="TA44" s="993"/>
      <c r="TB44" s="993"/>
      <c r="TC44" s="993"/>
      <c r="TD44" s="993"/>
      <c r="TE44" s="694"/>
      <c r="TF44" s="993"/>
      <c r="TG44" s="993"/>
      <c r="TH44" s="993"/>
      <c r="TI44" s="993"/>
      <c r="TJ44" s="993"/>
      <c r="TK44" s="993"/>
      <c r="TL44" s="694"/>
      <c r="TM44" s="694"/>
      <c r="TN44" s="694"/>
      <c r="TO44" s="694"/>
      <c r="TP44" s="694"/>
      <c r="TQ44" s="694"/>
      <c r="TR44" s="694"/>
      <c r="TS44" s="694"/>
      <c r="TT44" s="694"/>
      <c r="TU44" s="694"/>
      <c r="TV44" s="694"/>
      <c r="TW44" s="694"/>
      <c r="TX44" s="694"/>
      <c r="TY44" s="694"/>
      <c r="TZ44" s="694"/>
      <c r="UA44" s="694"/>
      <c r="UB44" s="694"/>
      <c r="UC44" s="694"/>
      <c r="UD44" s="694"/>
      <c r="UE44" s="694"/>
      <c r="UF44" s="694"/>
      <c r="UG44" s="694"/>
      <c r="UH44" s="694"/>
      <c r="UI44" s="694"/>
      <c r="UJ44" s="694"/>
      <c r="UK44" s="694"/>
      <c r="UL44" s="694"/>
      <c r="UM44" s="694"/>
      <c r="UN44" s="694"/>
      <c r="UO44" s="694"/>
      <c r="UP44" s="694"/>
      <c r="UQ44" s="694"/>
      <c r="UR44" s="694"/>
      <c r="US44" s="694"/>
      <c r="UT44" s="694"/>
      <c r="UU44" s="694"/>
      <c r="UV44" s="694"/>
      <c r="UW44" s="694"/>
      <c r="UX44" s="694"/>
      <c r="UY44" s="694"/>
      <c r="UZ44" s="694"/>
      <c r="VA44" s="694"/>
      <c r="VB44" s="996"/>
      <c r="VC44" s="996"/>
      <c r="VD44" s="694"/>
      <c r="VE44" s="694"/>
      <c r="VF44" s="694"/>
      <c r="VG44" s="694"/>
      <c r="VH44" s="694"/>
      <c r="VI44" s="694"/>
      <c r="VJ44" s="993"/>
      <c r="VK44" s="993"/>
      <c r="VL44" s="993"/>
      <c r="VM44" s="993"/>
      <c r="VN44" s="993"/>
      <c r="VO44" s="694"/>
      <c r="VP44" s="993"/>
      <c r="VQ44" s="993"/>
      <c r="VR44" s="1185"/>
      <c r="VS44" s="1185"/>
      <c r="VT44" s="1185"/>
      <c r="VU44" s="1185"/>
      <c r="VV44" s="993"/>
      <c r="VW44" s="993"/>
      <c r="VX44" s="694"/>
      <c r="VY44" s="993"/>
      <c r="VZ44" s="993"/>
      <c r="WA44" s="993"/>
      <c r="WB44" s="993"/>
      <c r="WC44" s="993"/>
      <c r="WD44" s="993"/>
      <c r="WE44" s="993"/>
      <c r="WF44" s="993"/>
      <c r="WG44" s="993"/>
      <c r="WH44" s="993"/>
      <c r="WI44" s="993"/>
      <c r="WJ44" s="993"/>
      <c r="WK44" s="993"/>
      <c r="WL44" s="694"/>
      <c r="WM44" s="694"/>
      <c r="WN44" s="694"/>
      <c r="WO44" s="694"/>
      <c r="WP44" s="694"/>
      <c r="WQ44" s="993"/>
      <c r="WR44" s="994"/>
      <c r="WS44" s="994"/>
      <c r="WT44" s="994"/>
      <c r="WU44" s="994"/>
      <c r="WV44" s="994"/>
      <c r="WW44" s="994"/>
      <c r="WX44" s="994"/>
      <c r="WY44" s="994"/>
      <c r="WZ44" s="994"/>
      <c r="XA44" s="994"/>
      <c r="XB44" s="994"/>
      <c r="XC44" s="994"/>
      <c r="XD44" s="994"/>
      <c r="XE44" s="994"/>
      <c r="XF44" s="694"/>
      <c r="XG44" s="694"/>
      <c r="XH44" s="694"/>
      <c r="XI44" s="694"/>
      <c r="XJ44" s="694"/>
      <c r="XK44" s="993"/>
      <c r="XL44" s="993"/>
      <c r="XM44" s="993"/>
      <c r="XN44" s="993"/>
      <c r="XO44" s="993"/>
      <c r="XP44" s="993"/>
      <c r="XQ44" s="993"/>
      <c r="XR44" s="993"/>
      <c r="XS44" s="993"/>
      <c r="XT44" s="993"/>
      <c r="XU44" s="993"/>
      <c r="XV44" s="993"/>
      <c r="XW44" s="993"/>
      <c r="XX44" s="1185"/>
      <c r="XY44" s="1185"/>
      <c r="XZ44" s="1185"/>
      <c r="YA44" s="996"/>
      <c r="YB44" s="1185"/>
      <c r="YC44" s="1185"/>
      <c r="YD44" s="995"/>
      <c r="YE44" s="996"/>
      <c r="YF44" s="1185"/>
      <c r="YG44" s="1185"/>
      <c r="YH44" s="1305"/>
      <c r="YI44" s="1185"/>
      <c r="YJ44" s="1185"/>
      <c r="YK44" s="1185"/>
      <c r="YL44" s="996"/>
      <c r="YM44" s="1185"/>
      <c r="YN44" s="1185"/>
      <c r="YO44" s="995"/>
      <c r="YP44" s="996"/>
      <c r="YQ44" s="1185"/>
      <c r="YR44" s="1185"/>
      <c r="YS44" s="1305"/>
      <c r="YT44" s="694"/>
      <c r="YU44" s="694"/>
      <c r="YV44" s="694"/>
      <c r="YW44" s="694"/>
      <c r="YX44" s="694"/>
      <c r="YY44" s="694"/>
      <c r="YZ44" s="694"/>
      <c r="ZA44" s="694"/>
      <c r="ZB44" s="694"/>
      <c r="ZC44" s="694"/>
      <c r="ZD44" s="694"/>
      <c r="ZE44" s="694"/>
      <c r="ZF44" s="694"/>
      <c r="ZG44" s="694"/>
      <c r="ZH44" s="694"/>
      <c r="ZI44" s="694"/>
      <c r="ZJ44" s="694"/>
      <c r="ZK44" s="694"/>
      <c r="ZL44" s="694"/>
      <c r="ZM44" s="694"/>
      <c r="ZN44" s="694"/>
      <c r="ZO44" s="694"/>
      <c r="ZP44" s="694"/>
      <c r="ZQ44" s="694"/>
      <c r="ZR44" s="694"/>
      <c r="ZS44" s="694"/>
      <c r="ZT44" s="694"/>
      <c r="ZU44" s="694"/>
      <c r="ZV44" s="694"/>
      <c r="ZW44" s="694"/>
      <c r="ZX44" s="694"/>
      <c r="ZY44" s="694"/>
      <c r="ZZ44" s="694"/>
      <c r="AAA44" s="694"/>
      <c r="AAB44" s="694"/>
      <c r="AAC44" s="694"/>
      <c r="AAD44" s="694"/>
      <c r="AAE44" s="993"/>
      <c r="AAF44" s="993"/>
      <c r="AAG44" s="993"/>
      <c r="AAH44" s="993"/>
      <c r="AAI44" s="993"/>
      <c r="AAJ44" s="993"/>
      <c r="AAK44" s="993"/>
      <c r="AAL44" s="993"/>
      <c r="AAM44" s="993"/>
      <c r="AAN44" s="993"/>
      <c r="AAO44" s="993"/>
      <c r="AAP44" s="993"/>
      <c r="AAQ44" s="993"/>
      <c r="AAR44" s="993"/>
      <c r="AAS44" s="993"/>
      <c r="AAT44" s="694"/>
      <c r="AAU44" s="694"/>
      <c r="AAV44" s="993"/>
      <c r="AAW44" s="694"/>
    </row>
    <row r="45" spans="1:725" ht="87.75" customHeight="1" x14ac:dyDescent="0.25">
      <c r="A45" s="993">
        <f>B38-'[2]Исполнение  по  МБТ  всего'!$B$33*1000</f>
        <v>2843391472.0000076</v>
      </c>
      <c r="B45" s="996">
        <f>C38-'[2]Исполнение  по  МБТ  всего'!$E$33*1000</f>
        <v>0</v>
      </c>
      <c r="C45" s="1152">
        <v>18438567515.25</v>
      </c>
      <c r="D45" s="1000"/>
      <c r="E45" s="1000"/>
      <c r="F45" s="1576" t="s">
        <v>1248</v>
      </c>
      <c r="G45" s="1577"/>
      <c r="H45" s="1577"/>
      <c r="I45" s="1577"/>
      <c r="J45" s="1577"/>
      <c r="K45" s="1577"/>
      <c r="L45" s="1577"/>
      <c r="M45" s="1578"/>
      <c r="N45" s="1579" t="s">
        <v>1249</v>
      </c>
      <c r="O45" s="1580"/>
      <c r="P45" s="1580"/>
      <c r="Q45" s="1580"/>
      <c r="R45" s="1580"/>
      <c r="S45" s="1580"/>
      <c r="T45" s="1580"/>
      <c r="U45" s="1581"/>
      <c r="V45" s="1576" t="s">
        <v>1250</v>
      </c>
      <c r="W45" s="1577"/>
      <c r="X45" s="1577"/>
      <c r="Y45" s="1577"/>
      <c r="Z45" s="1577"/>
      <c r="AA45" s="1577"/>
      <c r="AB45" s="1577"/>
      <c r="AC45" s="1578"/>
      <c r="AD45" s="1582" t="s">
        <v>1251</v>
      </c>
      <c r="AE45" s="1582"/>
      <c r="AF45" s="1582"/>
      <c r="AG45" s="1582"/>
      <c r="AH45" s="1582"/>
      <c r="AI45" s="1582"/>
      <c r="AJ45" s="1582"/>
      <c r="AK45" s="1582"/>
      <c r="AL45" s="1582"/>
      <c r="AM45" s="1582"/>
      <c r="AN45" s="993"/>
      <c r="AO45" s="993"/>
      <c r="AP45" s="1583" t="s">
        <v>1252</v>
      </c>
      <c r="AQ45" s="1584"/>
      <c r="AR45" s="1584"/>
      <c r="AS45" s="1584"/>
      <c r="AT45" s="1584"/>
      <c r="AU45" s="1584"/>
      <c r="AV45" s="1584"/>
      <c r="AW45" s="1584"/>
      <c r="AX45" s="1584"/>
      <c r="AY45" s="1584"/>
      <c r="AZ45" s="1584"/>
      <c r="BA45" s="1584"/>
      <c r="BB45" s="1584"/>
      <c r="BC45" s="1584"/>
      <c r="BD45" s="1584"/>
      <c r="BE45" s="1584"/>
      <c r="BF45" s="1584"/>
      <c r="BG45" s="1584"/>
      <c r="BH45" s="1576" t="s">
        <v>1253</v>
      </c>
      <c r="BI45" s="1577"/>
      <c r="BJ45" s="1577"/>
      <c r="BK45" s="1577"/>
      <c r="BL45" s="1577"/>
      <c r="BM45" s="1577"/>
      <c r="BN45" s="1577"/>
      <c r="BO45" s="1577"/>
      <c r="BP45" s="1577"/>
      <c r="BQ45" s="1577"/>
      <c r="BR45" s="1577"/>
      <c r="BS45" s="1578"/>
      <c r="BT45" s="1582" t="s">
        <v>766</v>
      </c>
      <c r="BU45" s="1582"/>
      <c r="BV45" s="1582"/>
      <c r="BW45" s="1582"/>
      <c r="BX45" s="1582"/>
      <c r="BY45" s="1582"/>
      <c r="BZ45" s="1582"/>
      <c r="CA45" s="1582"/>
      <c r="CB45" s="1582" t="s">
        <v>1294</v>
      </c>
      <c r="CC45" s="1582"/>
      <c r="CD45" s="1582"/>
      <c r="CE45" s="1582"/>
      <c r="CF45" s="1582"/>
      <c r="CG45" s="1582"/>
      <c r="CH45" s="1585" t="s">
        <v>1254</v>
      </c>
      <c r="CI45" s="1586"/>
      <c r="CJ45" s="1586"/>
      <c r="CK45" s="1586"/>
      <c r="CL45" s="1586"/>
      <c r="CM45" s="1586"/>
      <c r="CN45" s="1586"/>
      <c r="CO45" s="1587"/>
      <c r="CP45" s="1582" t="s">
        <v>1255</v>
      </c>
      <c r="CQ45" s="1582"/>
      <c r="CR45" s="1582"/>
      <c r="CS45" s="1582"/>
      <c r="CT45" s="1582"/>
      <c r="CU45" s="1582"/>
      <c r="CV45" s="1576" t="s">
        <v>1256</v>
      </c>
      <c r="CW45" s="1577"/>
      <c r="CX45" s="1577"/>
      <c r="CY45" s="1577"/>
      <c r="CZ45" s="1577"/>
      <c r="DA45" s="1577"/>
      <c r="DB45" s="1577"/>
      <c r="DC45" s="1577"/>
      <c r="DD45" s="1577"/>
      <c r="DE45" s="1577"/>
      <c r="DF45" s="1577"/>
      <c r="DG45" s="1577"/>
      <c r="DH45" s="1577"/>
      <c r="DI45" s="1577"/>
      <c r="DJ45" s="1577"/>
      <c r="DK45" s="1577"/>
      <c r="DL45" s="1577"/>
      <c r="DM45" s="1577"/>
      <c r="DN45" s="1577"/>
      <c r="DO45" s="1577"/>
      <c r="DP45" s="1577"/>
      <c r="DQ45" s="1577"/>
      <c r="DR45" s="1577"/>
      <c r="DS45" s="1577"/>
      <c r="DT45" s="1576" t="s">
        <v>1257</v>
      </c>
      <c r="DU45" s="1577"/>
      <c r="DV45" s="1577"/>
      <c r="DW45" s="1577"/>
      <c r="DX45" s="1577"/>
      <c r="DY45" s="1577"/>
      <c r="DZ45" s="1577"/>
      <c r="EA45" s="1578"/>
      <c r="EB45" s="1582" t="s">
        <v>1258</v>
      </c>
      <c r="EC45" s="1582"/>
      <c r="ED45" s="1582"/>
      <c r="EE45" s="1582"/>
      <c r="EF45" s="1582"/>
      <c r="EG45" s="1582"/>
      <c r="EH45" s="1576" t="s">
        <v>1259</v>
      </c>
      <c r="EI45" s="1577"/>
      <c r="EJ45" s="1577"/>
      <c r="EK45" s="1577"/>
      <c r="EL45" s="1577"/>
      <c r="EM45" s="1577"/>
      <c r="EN45" s="1576" t="s">
        <v>1260</v>
      </c>
      <c r="EO45" s="1577"/>
      <c r="EP45" s="1577"/>
      <c r="EQ45" s="1577"/>
      <c r="ER45" s="1577"/>
      <c r="ES45" s="1577"/>
      <c r="ET45" s="1577"/>
      <c r="EU45" s="1578"/>
      <c r="EV45" s="1576" t="s">
        <v>774</v>
      </c>
      <c r="EW45" s="1577"/>
      <c r="EX45" s="1577"/>
      <c r="EY45" s="1577"/>
      <c r="EZ45" s="1577"/>
      <c r="FA45" s="1577"/>
      <c r="FB45" s="1576" t="s">
        <v>775</v>
      </c>
      <c r="FC45" s="1577"/>
      <c r="FD45" s="1577"/>
      <c r="FE45" s="1577"/>
      <c r="FF45" s="1577"/>
      <c r="FG45" s="1577"/>
      <c r="FH45" s="1577"/>
      <c r="FI45" s="1577"/>
      <c r="FJ45" s="1577"/>
      <c r="FK45" s="1577"/>
      <c r="FL45" s="1577"/>
      <c r="FM45" s="1577"/>
      <c r="FN45" s="1577"/>
      <c r="FO45" s="1577"/>
      <c r="FP45" s="1577"/>
      <c r="FQ45" s="1577"/>
      <c r="FR45" s="1577"/>
      <c r="FS45" s="1577"/>
      <c r="FT45" s="1577"/>
      <c r="FU45" s="1577"/>
      <c r="FV45" s="1577"/>
      <c r="FW45" s="1577"/>
      <c r="FX45" s="1577"/>
      <c r="FY45" s="1578"/>
      <c r="FZ45" s="1582" t="s">
        <v>776</v>
      </c>
      <c r="GA45" s="1582"/>
      <c r="GB45" s="1582"/>
      <c r="GC45" s="1582"/>
      <c r="GD45" s="1582"/>
      <c r="GE45" s="1582"/>
      <c r="GF45" s="1576" t="s">
        <v>777</v>
      </c>
      <c r="GG45" s="1577"/>
      <c r="GH45" s="1577"/>
      <c r="GI45" s="1577"/>
      <c r="GJ45" s="1577"/>
      <c r="GK45" s="1577"/>
      <c r="GL45" s="1577"/>
      <c r="GM45" s="1577"/>
      <c r="GN45" s="1577"/>
      <c r="GO45" s="1577"/>
      <c r="GP45" s="1577"/>
      <c r="GQ45" s="1577"/>
      <c r="GR45" s="1577"/>
      <c r="GS45" s="1577"/>
      <c r="GT45" s="1577"/>
      <c r="GU45" s="1578"/>
      <c r="GV45" s="1576" t="s">
        <v>1261</v>
      </c>
      <c r="GW45" s="1577"/>
      <c r="GX45" s="1577"/>
      <c r="GY45" s="1577"/>
      <c r="GZ45" s="1577"/>
      <c r="HA45" s="1577"/>
      <c r="HB45" s="1577"/>
      <c r="HC45" s="1577"/>
      <c r="HD45" s="1577"/>
      <c r="HE45" s="1577"/>
      <c r="HF45" s="1577"/>
      <c r="HG45" s="1577"/>
      <c r="HH45" s="1577"/>
      <c r="HI45" s="1577"/>
      <c r="HJ45" s="1577"/>
      <c r="HK45" s="1578"/>
      <c r="HL45" s="1582" t="s">
        <v>779</v>
      </c>
      <c r="HM45" s="1582"/>
      <c r="HN45" s="1582"/>
      <c r="HO45" s="1582"/>
      <c r="HP45" s="1582"/>
      <c r="HQ45" s="1582"/>
      <c r="HR45" s="1576" t="s">
        <v>780</v>
      </c>
      <c r="HS45" s="1577"/>
      <c r="HT45" s="1577"/>
      <c r="HU45" s="1577"/>
      <c r="HV45" s="1577"/>
      <c r="HW45" s="1577"/>
      <c r="HX45" s="1577"/>
      <c r="HY45" s="1577"/>
      <c r="HZ45" s="1577"/>
      <c r="IA45" s="1577"/>
      <c r="IB45" s="1577"/>
      <c r="IC45" s="1577"/>
      <c r="ID45" s="1577"/>
      <c r="IE45" s="1577"/>
      <c r="IF45" s="1577"/>
      <c r="IG45" s="1577"/>
      <c r="IH45" s="1577"/>
      <c r="II45" s="1577"/>
      <c r="IJ45" s="1577"/>
      <c r="IK45" s="1577"/>
      <c r="IL45" s="1577"/>
      <c r="IM45" s="1577"/>
      <c r="IN45" s="1577"/>
      <c r="IO45" s="1578"/>
      <c r="IP45" s="1576" t="s">
        <v>781</v>
      </c>
      <c r="IQ45" s="1577"/>
      <c r="IR45" s="1577"/>
      <c r="IS45" s="1577"/>
      <c r="IT45" s="1577"/>
      <c r="IU45" s="1577"/>
      <c r="IV45" s="1577"/>
      <c r="IW45" s="1577"/>
      <c r="IX45" s="1577"/>
      <c r="IY45" s="1577"/>
      <c r="IZ45" s="1577"/>
      <c r="JA45" s="1577"/>
      <c r="JB45" s="1577"/>
      <c r="JC45" s="1577"/>
      <c r="JD45" s="1577"/>
      <c r="JE45" s="1578"/>
      <c r="JF45" s="1582" t="s">
        <v>782</v>
      </c>
      <c r="JG45" s="1582"/>
      <c r="JH45" s="1582"/>
      <c r="JI45" s="1582"/>
      <c r="JJ45" s="1582"/>
      <c r="JK45" s="1582"/>
      <c r="JL45" s="1582" t="s">
        <v>1262</v>
      </c>
      <c r="JM45" s="1582"/>
      <c r="JN45" s="1582"/>
      <c r="JO45" s="1582"/>
      <c r="JP45" s="1582"/>
      <c r="JQ45" s="1582"/>
      <c r="JR45" s="1576" t="s">
        <v>1263</v>
      </c>
      <c r="JS45" s="1577"/>
      <c r="JT45" s="1577"/>
      <c r="JU45" s="1577"/>
      <c r="JV45" s="1577"/>
      <c r="JW45" s="1577"/>
      <c r="JX45" s="1577"/>
      <c r="JY45" s="1577"/>
      <c r="JZ45" s="1577"/>
      <c r="KA45" s="1577"/>
      <c r="KB45" s="1577"/>
      <c r="KC45" s="1577"/>
      <c r="KD45" s="1577"/>
      <c r="KE45" s="1577"/>
      <c r="KF45" s="1577"/>
      <c r="KG45" s="1577"/>
      <c r="KH45" s="1577"/>
      <c r="KI45" s="1577"/>
      <c r="KJ45" s="1577"/>
      <c r="KK45" s="1577"/>
      <c r="KL45" s="1577"/>
      <c r="KM45" s="1577"/>
      <c r="KN45" s="1577"/>
      <c r="KO45" s="1578"/>
      <c r="KP45" s="1576" t="s">
        <v>1264</v>
      </c>
      <c r="KQ45" s="1577"/>
      <c r="KR45" s="1577"/>
      <c r="KS45" s="1577"/>
      <c r="KT45" s="1577"/>
      <c r="KU45" s="1577"/>
      <c r="KV45" s="1577"/>
      <c r="KW45" s="1577"/>
      <c r="KX45" s="1577"/>
      <c r="KY45" s="1577"/>
      <c r="KZ45" s="1577"/>
      <c r="LA45" s="1577"/>
      <c r="LB45" s="1577"/>
      <c r="LC45" s="1577"/>
      <c r="LD45" s="1577"/>
      <c r="LE45" s="1577"/>
      <c r="LF45" s="1577"/>
      <c r="LG45" s="1577"/>
      <c r="LH45" s="1577"/>
      <c r="LI45" s="1577"/>
      <c r="LJ45" s="1577"/>
      <c r="LK45" s="1577"/>
      <c r="LL45" s="1577"/>
      <c r="LM45" s="1577"/>
      <c r="LN45" s="1577"/>
      <c r="LO45" s="1577"/>
      <c r="LP45" s="1577"/>
      <c r="LQ45" s="1577"/>
      <c r="LR45" s="1577"/>
      <c r="LS45" s="1577"/>
      <c r="LT45" s="1577"/>
      <c r="LU45" s="1578"/>
      <c r="LV45" s="1576" t="s">
        <v>1265</v>
      </c>
      <c r="LW45" s="1577"/>
      <c r="LX45" s="1577"/>
      <c r="LY45" s="1577"/>
      <c r="LZ45" s="1577"/>
      <c r="MA45" s="1577"/>
      <c r="MB45" s="1577"/>
      <c r="MC45" s="1577"/>
      <c r="MD45" s="1577"/>
      <c r="ME45" s="1577"/>
      <c r="MF45" s="1577"/>
      <c r="MG45" s="1577"/>
      <c r="MH45" s="1577"/>
      <c r="MI45" s="1577"/>
      <c r="MJ45" s="1577"/>
      <c r="MK45" s="1577"/>
      <c r="ML45" s="1577"/>
      <c r="MM45" s="1577"/>
      <c r="MN45" s="1577"/>
      <c r="MO45" s="1577"/>
      <c r="MP45" s="1577"/>
      <c r="MQ45" s="1577"/>
      <c r="MR45" s="1577"/>
      <c r="MS45" s="1577"/>
      <c r="MT45" s="1577"/>
      <c r="MU45" s="1577"/>
      <c r="MV45" s="1577"/>
      <c r="MW45" s="1577"/>
      <c r="MX45" s="1577"/>
      <c r="MY45" s="1577"/>
      <c r="MZ45" s="1577"/>
      <c r="NA45" s="1578"/>
      <c r="NB45" s="1582" t="s">
        <v>1266</v>
      </c>
      <c r="NC45" s="1582"/>
      <c r="ND45" s="1582"/>
      <c r="NE45" s="1582"/>
      <c r="NF45" s="1582"/>
      <c r="NG45" s="1582"/>
      <c r="NH45" s="1582"/>
      <c r="NI45" s="1582"/>
      <c r="NJ45" s="1582"/>
      <c r="NK45" s="1582"/>
      <c r="NL45" s="1582"/>
      <c r="NM45" s="1582"/>
      <c r="NN45" s="1582"/>
      <c r="NO45" s="1582"/>
      <c r="NP45" s="1582"/>
      <c r="NQ45" s="1582"/>
      <c r="NR45" s="1582"/>
      <c r="NS45" s="1582"/>
      <c r="NT45" s="1582"/>
      <c r="NU45" s="1582"/>
      <c r="NV45" s="1582"/>
      <c r="NW45" s="1582"/>
      <c r="NX45" s="1582"/>
      <c r="NY45" s="1582"/>
      <c r="NZ45" s="1582"/>
      <c r="OA45" s="1582"/>
      <c r="OB45" s="1582"/>
      <c r="OC45" s="1582"/>
      <c r="OD45" s="1582"/>
      <c r="OE45" s="1582"/>
      <c r="OF45" s="1582"/>
      <c r="OG45" s="1582"/>
      <c r="OH45" s="1582"/>
      <c r="OI45" s="1582"/>
      <c r="OJ45" s="1582" t="s">
        <v>1267</v>
      </c>
      <c r="OK45" s="1582"/>
      <c r="OL45" s="1582"/>
      <c r="OM45" s="1582"/>
      <c r="ON45" s="1582"/>
      <c r="OO45" s="1582"/>
      <c r="OP45" s="1582"/>
      <c r="OQ45" s="1582"/>
      <c r="OR45" s="1576" t="s">
        <v>1268</v>
      </c>
      <c r="OS45" s="1577"/>
      <c r="OT45" s="1577"/>
      <c r="OU45" s="1577"/>
      <c r="OV45" s="1577"/>
      <c r="OW45" s="1577"/>
      <c r="OX45" s="1577"/>
      <c r="OY45" s="1577"/>
      <c r="OZ45" s="1577"/>
      <c r="PA45" s="1577"/>
      <c r="PB45" s="1577"/>
      <c r="PC45" s="1577"/>
      <c r="PD45" s="1577"/>
      <c r="PE45" s="1577"/>
      <c r="PF45" s="1577"/>
      <c r="PG45" s="1577"/>
      <c r="PH45" s="1577"/>
      <c r="PI45" s="1577"/>
      <c r="PJ45" s="1577"/>
      <c r="PK45" s="1577"/>
      <c r="PL45" s="1577"/>
      <c r="PM45" s="1577"/>
      <c r="PN45" s="1577"/>
      <c r="PO45" s="1577"/>
      <c r="PP45" s="1577"/>
      <c r="PQ45" s="1577"/>
      <c r="PR45" s="1577"/>
      <c r="PS45" s="1577"/>
      <c r="PT45" s="1577"/>
      <c r="PU45" s="1577"/>
      <c r="PV45" s="1577"/>
      <c r="PW45" s="1578"/>
      <c r="PX45" s="1576" t="s">
        <v>1322</v>
      </c>
      <c r="PY45" s="1577"/>
      <c r="PZ45" s="1577"/>
      <c r="QA45" s="1577"/>
      <c r="QB45" s="1577"/>
      <c r="QC45" s="1577"/>
      <c r="QD45" s="1577"/>
      <c r="QE45" s="1577"/>
      <c r="QF45" s="1577"/>
      <c r="QG45" s="1577"/>
      <c r="QH45" s="1577"/>
      <c r="QI45" s="1577"/>
      <c r="QJ45" s="1577"/>
      <c r="QK45" s="1577"/>
      <c r="QL45" s="1577"/>
      <c r="QM45" s="1577"/>
      <c r="QN45" s="1577"/>
      <c r="QO45" s="1577"/>
      <c r="QP45" s="1577"/>
      <c r="QQ45" s="1577"/>
      <c r="QR45" s="1577"/>
      <c r="QS45" s="1577"/>
      <c r="QT45" s="1577"/>
      <c r="QU45" s="1577"/>
      <c r="QV45" s="1577"/>
      <c r="QW45" s="1577"/>
      <c r="QX45" s="1577"/>
      <c r="QY45" s="1578"/>
      <c r="QZ45" s="1576" t="s">
        <v>794</v>
      </c>
      <c r="RA45" s="1577"/>
      <c r="RB45" s="1577"/>
      <c r="RC45" s="1577"/>
      <c r="RD45" s="1577"/>
      <c r="RE45" s="1578"/>
      <c r="RF45" s="1576" t="s">
        <v>795</v>
      </c>
      <c r="RG45" s="1577"/>
      <c r="RH45" s="1577"/>
      <c r="RI45" s="1577"/>
      <c r="RJ45" s="1577"/>
      <c r="RK45" s="1577"/>
      <c r="RL45" s="1577"/>
      <c r="RM45" s="1577"/>
      <c r="RN45" s="1577"/>
      <c r="RO45" s="1577"/>
      <c r="RP45" s="1577"/>
      <c r="RQ45" s="1577"/>
      <c r="RR45" s="1577"/>
      <c r="RS45" s="1577"/>
      <c r="RT45" s="1577"/>
      <c r="RU45" s="1577"/>
      <c r="RV45" s="1577"/>
      <c r="RW45" s="1577"/>
      <c r="RX45" s="1577"/>
      <c r="RY45" s="1577"/>
      <c r="RZ45" s="1577"/>
      <c r="SA45" s="1577"/>
      <c r="SB45" s="1577"/>
      <c r="SC45" s="1578"/>
      <c r="SD45" s="1582" t="s">
        <v>796</v>
      </c>
      <c r="SE45" s="1582"/>
      <c r="SF45" s="1582"/>
      <c r="SG45" s="1582"/>
      <c r="SH45" s="1582"/>
      <c r="SI45" s="1582"/>
      <c r="SJ45" s="1582" t="s">
        <v>1359</v>
      </c>
      <c r="SK45" s="1582"/>
      <c r="SL45" s="1582"/>
      <c r="SM45" s="1582"/>
      <c r="SN45" s="1582"/>
      <c r="SO45" s="1582"/>
      <c r="SP45" s="1582"/>
      <c r="SQ45" s="1582"/>
      <c r="SR45" s="1582" t="s">
        <v>797</v>
      </c>
      <c r="SS45" s="1582"/>
      <c r="ST45" s="1582"/>
      <c r="SU45" s="1582"/>
      <c r="SV45" s="1582"/>
      <c r="SW45" s="1582"/>
      <c r="SX45" s="1576" t="s">
        <v>1269</v>
      </c>
      <c r="SY45" s="1577"/>
      <c r="SZ45" s="1577"/>
      <c r="TA45" s="1577"/>
      <c r="TB45" s="1577"/>
      <c r="TC45" s="1577"/>
      <c r="TD45" s="1577"/>
      <c r="TE45" s="1577"/>
      <c r="TF45" s="1577"/>
      <c r="TG45" s="1577"/>
      <c r="TH45" s="1577"/>
      <c r="TI45" s="1577"/>
      <c r="TJ45" s="1577"/>
      <c r="TK45" s="1577"/>
      <c r="TL45" s="1577"/>
      <c r="TM45" s="1577"/>
      <c r="TN45" s="1577"/>
      <c r="TO45" s="1577"/>
      <c r="TP45" s="1577"/>
      <c r="TQ45" s="1577"/>
      <c r="TR45" s="1577"/>
      <c r="TS45" s="1577"/>
      <c r="TT45" s="1577"/>
      <c r="TU45" s="1577"/>
      <c r="TV45" s="1577"/>
      <c r="TW45" s="1577"/>
      <c r="TX45" s="1577"/>
      <c r="TY45" s="1577"/>
      <c r="TZ45" s="1577"/>
      <c r="UA45" s="1577"/>
      <c r="UB45" s="1577"/>
      <c r="UC45" s="1577"/>
      <c r="UD45" s="1577"/>
      <c r="UE45" s="1577"/>
      <c r="UF45" s="1577"/>
      <c r="UG45" s="1577"/>
      <c r="UH45" s="1577"/>
      <c r="UI45" s="1577"/>
      <c r="UJ45" s="1577"/>
      <c r="UK45" s="1577"/>
      <c r="UL45" s="1577"/>
      <c r="UM45" s="1577"/>
      <c r="UN45" s="1577"/>
      <c r="UO45" s="1577"/>
      <c r="UP45" s="1577"/>
      <c r="UQ45" s="1577"/>
      <c r="UR45" s="1577"/>
      <c r="US45" s="1577"/>
      <c r="UT45" s="1577"/>
      <c r="UU45" s="1577"/>
      <c r="UV45" s="1577"/>
      <c r="UW45" s="1577"/>
      <c r="UX45" s="1577"/>
      <c r="UY45" s="1577"/>
      <c r="UZ45" s="1577"/>
      <c r="VA45" s="1578"/>
      <c r="VB45" s="1576" t="s">
        <v>1270</v>
      </c>
      <c r="VC45" s="1578"/>
      <c r="VD45" s="1582" t="s">
        <v>1271</v>
      </c>
      <c r="VE45" s="1582"/>
      <c r="VF45" s="1582"/>
      <c r="VG45" s="1582"/>
      <c r="VH45" s="1582"/>
      <c r="VI45" s="1582"/>
      <c r="VJ45" s="1001"/>
      <c r="VK45" s="1001"/>
      <c r="VL45" s="1001"/>
      <c r="VM45" s="1001"/>
      <c r="VN45" s="1002"/>
      <c r="VO45" s="1310"/>
      <c r="VP45" s="1576" t="s">
        <v>1272</v>
      </c>
      <c r="VQ45" s="1598"/>
      <c r="VR45" s="1576" t="s">
        <v>1273</v>
      </c>
      <c r="VS45" s="1578"/>
      <c r="VT45" s="1576" t="s">
        <v>801</v>
      </c>
      <c r="VU45" s="1577"/>
      <c r="VV45" s="1577"/>
      <c r="VW45" s="1578"/>
      <c r="VX45" s="1576" t="s">
        <v>802</v>
      </c>
      <c r="VY45" s="1578"/>
      <c r="VZ45" s="1576" t="s">
        <v>803</v>
      </c>
      <c r="WA45" s="1578"/>
      <c r="WB45" s="1576" t="s">
        <v>804</v>
      </c>
      <c r="WC45" s="1578"/>
      <c r="WD45" s="1576" t="s">
        <v>805</v>
      </c>
      <c r="WE45" s="1578"/>
      <c r="WF45" s="1576" t="s">
        <v>806</v>
      </c>
      <c r="WG45" s="1577"/>
      <c r="WH45" s="1577"/>
      <c r="WI45" s="1577"/>
      <c r="WJ45" s="1577"/>
      <c r="WK45" s="1578"/>
      <c r="WL45" s="1582" t="s">
        <v>1274</v>
      </c>
      <c r="WM45" s="1582"/>
      <c r="WN45" s="1582"/>
      <c r="WO45" s="1582"/>
      <c r="WP45" s="1582"/>
      <c r="WQ45" s="1582"/>
      <c r="WR45" s="1003"/>
      <c r="WS45" s="1004"/>
      <c r="WT45" s="1576" t="s">
        <v>808</v>
      </c>
      <c r="WU45" s="1577"/>
      <c r="WV45" s="1577"/>
      <c r="WW45" s="1577"/>
      <c r="WX45" s="1577"/>
      <c r="WY45" s="1578"/>
      <c r="WZ45" s="1582" t="s">
        <v>809</v>
      </c>
      <c r="XA45" s="1582"/>
      <c r="XB45" s="1582"/>
      <c r="XC45" s="1582"/>
      <c r="XD45" s="1582"/>
      <c r="XE45" s="1582"/>
      <c r="XF45" s="1582" t="s">
        <v>810</v>
      </c>
      <c r="XG45" s="1582"/>
      <c r="XH45" s="1582"/>
      <c r="XI45" s="1582"/>
      <c r="XJ45" s="1582"/>
      <c r="XK45" s="1582"/>
      <c r="XL45" s="1576" t="s">
        <v>1275</v>
      </c>
      <c r="XM45" s="1577"/>
      <c r="XN45" s="1577"/>
      <c r="XO45" s="1577"/>
      <c r="XP45" s="1577"/>
      <c r="XQ45" s="1577"/>
      <c r="XR45" s="1577"/>
      <c r="XS45" s="1577"/>
      <c r="XT45" s="1577"/>
      <c r="XU45" s="1577"/>
      <c r="XV45" s="1577"/>
      <c r="XW45" s="1578"/>
      <c r="XX45" s="1582" t="s">
        <v>1276</v>
      </c>
      <c r="XY45" s="1582"/>
      <c r="XZ45" s="1582"/>
      <c r="YA45" s="1582"/>
      <c r="YB45" s="1582"/>
      <c r="YC45" s="1582"/>
      <c r="YD45" s="1582"/>
      <c r="YE45" s="1582"/>
      <c r="YF45" s="1582"/>
      <c r="YG45" s="1582"/>
      <c r="YH45" s="1582"/>
      <c r="YI45" s="1582"/>
      <c r="YJ45" s="1582"/>
      <c r="YK45" s="1582"/>
      <c r="YL45" s="1582"/>
      <c r="YM45" s="1582"/>
      <c r="YN45" s="1582"/>
      <c r="YO45" s="1582"/>
      <c r="YP45" s="1582"/>
      <c r="YQ45" s="1582"/>
      <c r="YR45" s="1582"/>
      <c r="YS45" s="1582"/>
      <c r="YT45" s="1582"/>
      <c r="YU45" s="1582"/>
      <c r="YV45" s="1582"/>
      <c r="YW45" s="1582"/>
      <c r="YX45" s="1582"/>
      <c r="YY45" s="1582"/>
      <c r="YZ45" s="1582"/>
      <c r="ZA45" s="1582"/>
      <c r="ZB45" s="1582"/>
      <c r="ZC45" s="1582"/>
      <c r="ZD45" s="1582"/>
      <c r="ZE45" s="1582"/>
      <c r="ZF45" s="1582"/>
      <c r="ZG45" s="1582"/>
      <c r="ZH45" s="1582"/>
      <c r="ZI45" s="1582"/>
      <c r="ZJ45" s="1582"/>
      <c r="ZK45" s="1582"/>
      <c r="ZL45" s="1582"/>
      <c r="ZM45" s="1582"/>
      <c r="ZN45" s="1582"/>
      <c r="ZO45" s="1582"/>
      <c r="ZP45" s="1582"/>
      <c r="ZQ45" s="1582"/>
      <c r="ZR45" s="1582"/>
      <c r="ZS45" s="1582"/>
      <c r="ZT45" s="1582"/>
      <c r="ZU45" s="1582"/>
      <c r="ZV45" s="1582"/>
      <c r="ZW45" s="1582"/>
      <c r="ZX45" s="1582"/>
      <c r="ZY45" s="1582"/>
      <c r="ZZ45" s="1582"/>
      <c r="AAA45" s="1582"/>
      <c r="AAB45" s="1582"/>
      <c r="AAC45" s="1582"/>
      <c r="AAD45" s="1005"/>
      <c r="AAE45" s="993"/>
      <c r="AAF45" s="1579">
        <v>540</v>
      </c>
      <c r="AAG45" s="1580"/>
      <c r="AAH45" s="1580"/>
      <c r="AAI45" s="1580"/>
      <c r="AAJ45" s="1580"/>
      <c r="AAK45" s="1580"/>
      <c r="AAL45" s="1580"/>
      <c r="AAM45" s="1581"/>
      <c r="AAN45" s="1597">
        <v>640</v>
      </c>
      <c r="AAO45" s="1597"/>
      <c r="AAP45" s="1597"/>
      <c r="AAQ45" s="1597"/>
      <c r="AAR45" s="1597"/>
      <c r="AAS45" s="1597"/>
      <c r="AAT45" s="1597"/>
      <c r="AAU45" s="1597"/>
      <c r="AAV45" s="694"/>
      <c r="AAW45" s="694"/>
    </row>
    <row r="46" spans="1:725" ht="17.25" thickBot="1" x14ac:dyDescent="0.3">
      <c r="A46" s="694"/>
      <c r="B46" s="694"/>
      <c r="C46" s="1311">
        <f>C45-C38</f>
        <v>0</v>
      </c>
      <c r="D46" s="993"/>
      <c r="E46" s="992"/>
      <c r="F46" s="992"/>
      <c r="G46" s="992"/>
      <c r="H46" s="992"/>
      <c r="I46" s="1185"/>
      <c r="J46" s="1185"/>
      <c r="K46" s="1185"/>
      <c r="L46" s="1185"/>
      <c r="M46" s="1185"/>
      <c r="N46" s="1185"/>
      <c r="O46" s="1185"/>
      <c r="P46" s="1185"/>
      <c r="Q46" s="694"/>
      <c r="R46" s="694"/>
      <c r="S46" s="694"/>
      <c r="T46" s="694"/>
      <c r="U46" s="694"/>
      <c r="V46" s="1006"/>
      <c r="W46" s="1006"/>
      <c r="X46" s="1006"/>
      <c r="Y46" s="1006"/>
      <c r="Z46" s="694"/>
      <c r="AA46" s="694"/>
      <c r="AB46" s="694"/>
      <c r="AC46" s="694"/>
      <c r="AD46" s="1006"/>
      <c r="AE46" s="1006"/>
      <c r="AF46" s="1006"/>
      <c r="AG46" s="694"/>
      <c r="AH46" s="1006"/>
      <c r="AI46" s="1006"/>
      <c r="AJ46" s="1006"/>
      <c r="AK46" s="1006"/>
      <c r="AL46" s="1006"/>
      <c r="AM46" s="1006"/>
      <c r="AN46" s="1006"/>
      <c r="AO46" s="1006"/>
      <c r="AP46" s="1312"/>
      <c r="AQ46" s="1007"/>
      <c r="AR46" s="1007"/>
      <c r="AS46" s="1312"/>
      <c r="AT46" s="1304">
        <v>141584288.19</v>
      </c>
      <c r="AU46" s="1304">
        <v>4965519.3899999997</v>
      </c>
      <c r="AV46" s="1312"/>
      <c r="AW46" s="994"/>
      <c r="AX46" s="1312"/>
      <c r="AY46" s="994"/>
      <c r="AZ46" s="1312"/>
      <c r="BA46" s="996"/>
      <c r="BB46" s="1312"/>
      <c r="BC46" s="996"/>
      <c r="BD46" s="1312"/>
      <c r="BE46" s="996"/>
      <c r="BF46" s="1312"/>
      <c r="BG46" s="996"/>
      <c r="BH46" s="1007"/>
      <c r="BI46" s="1007"/>
      <c r="BJ46" s="1007"/>
      <c r="BK46" s="1304">
        <v>66310013.82</v>
      </c>
      <c r="BL46" s="1007"/>
      <c r="BM46" s="1007"/>
      <c r="BN46" s="1007"/>
      <c r="BO46" s="1007"/>
      <c r="BP46" s="1008"/>
      <c r="BQ46" s="1008"/>
      <c r="BR46" s="1008"/>
      <c r="BS46" s="1008"/>
      <c r="BT46" s="1185"/>
      <c r="BU46" s="1313"/>
      <c r="BV46" s="1185"/>
      <c r="BW46" s="1185"/>
      <c r="BX46" s="1185"/>
      <c r="BY46" s="1185"/>
      <c r="BZ46" s="1185"/>
      <c r="CA46" s="1185"/>
      <c r="CB46" s="694"/>
      <c r="CC46" s="694"/>
      <c r="CD46" s="694"/>
      <c r="CE46" s="694"/>
      <c r="CF46" s="1304">
        <v>0</v>
      </c>
      <c r="CG46" s="1304">
        <v>3599000</v>
      </c>
      <c r="CH46" s="1185"/>
      <c r="CI46" s="1314"/>
      <c r="CJ46" s="1185"/>
      <c r="CK46" s="1185"/>
      <c r="CL46" s="1185"/>
      <c r="CM46" s="1185"/>
      <c r="CN46" s="1185"/>
      <c r="CO46" s="1185"/>
      <c r="CP46" s="1007"/>
      <c r="CQ46" s="1007"/>
      <c r="CR46" s="1007"/>
      <c r="CS46" s="1007"/>
      <c r="CT46" s="1315"/>
      <c r="CU46" s="1304">
        <v>1698440.66</v>
      </c>
      <c r="CV46" s="1007"/>
      <c r="CW46" s="1007"/>
      <c r="CX46" s="1007"/>
      <c r="CY46" s="1007"/>
      <c r="CZ46" s="1007"/>
      <c r="DA46" s="1007"/>
      <c r="DB46" s="1007"/>
      <c r="DC46" s="1007"/>
      <c r="DD46" s="1316">
        <f t="shared" ref="DD46" si="573">DD47-DE46</f>
        <v>0</v>
      </c>
      <c r="DE46" s="1317"/>
      <c r="DF46" s="1316">
        <f t="shared" ref="DF46" si="574">DF47-DG46</f>
        <v>11697924.829999983</v>
      </c>
      <c r="DG46" s="1318">
        <v>222265057.02000001</v>
      </c>
      <c r="DH46" s="1316">
        <f t="shared" ref="DH46" si="575">DH47-DI46</f>
        <v>3410449.7899999917</v>
      </c>
      <c r="DI46" s="1318">
        <v>64798441.840000004</v>
      </c>
      <c r="DJ46" s="1319"/>
      <c r="DK46" s="1319"/>
      <c r="DL46" s="1319"/>
      <c r="DM46" s="1319"/>
      <c r="DN46" s="1319"/>
      <c r="DO46" s="1319"/>
      <c r="DP46" s="1319"/>
      <c r="DQ46" s="1319"/>
      <c r="DR46" s="1319"/>
      <c r="DS46" s="1319"/>
      <c r="DT46" s="1320"/>
      <c r="DU46" s="1320"/>
      <c r="DV46" s="1320"/>
      <c r="DW46" s="1320"/>
      <c r="DX46" s="1320"/>
      <c r="DY46" s="1304">
        <v>4210000</v>
      </c>
      <c r="DZ46" s="1304">
        <v>4198000</v>
      </c>
      <c r="EA46" s="1321"/>
      <c r="EB46" s="1007"/>
      <c r="EC46" s="1007"/>
      <c r="ED46" s="1007"/>
      <c r="EE46" s="1007"/>
      <c r="EF46" s="1315">
        <f>EF47-EG46</f>
        <v>0</v>
      </c>
      <c r="EG46" s="1315"/>
      <c r="EH46" s="1007"/>
      <c r="EI46" s="1007"/>
      <c r="EJ46" s="1007"/>
      <c r="EK46" s="1007"/>
      <c r="EL46" s="1007"/>
      <c r="EM46" s="1007"/>
      <c r="EN46" s="1319"/>
      <c r="EO46" s="1319"/>
      <c r="EP46" s="1319"/>
      <c r="EQ46" s="1319"/>
      <c r="ER46" s="1319"/>
      <c r="ES46" s="1304">
        <v>121024.36</v>
      </c>
      <c r="ET46" s="1315">
        <f>ET47-EU46</f>
        <v>21143092.100000024</v>
      </c>
      <c r="EU46" s="1318">
        <v>401718749.95999998</v>
      </c>
      <c r="EV46" s="1319"/>
      <c r="EW46" s="1319"/>
      <c r="EX46" s="1319"/>
      <c r="EY46" s="1319"/>
      <c r="EZ46" s="1315">
        <f>EZ47-FA46</f>
        <v>5480944.099999994</v>
      </c>
      <c r="FA46" s="1318">
        <v>104137919.87</v>
      </c>
      <c r="FB46" s="1322"/>
      <c r="FC46" s="1322"/>
      <c r="FD46" s="1322"/>
      <c r="FE46" s="1322"/>
      <c r="FF46" s="1316">
        <f t="shared" ref="FF46" si="576">FF47-FG46</f>
        <v>219937.09999999998</v>
      </c>
      <c r="FG46" s="1318">
        <v>622691.93000000005</v>
      </c>
      <c r="FH46" s="1322"/>
      <c r="FI46" s="1322"/>
      <c r="FJ46" s="1322"/>
      <c r="FK46" s="1322"/>
      <c r="FL46" s="1322"/>
      <c r="FM46" s="1322"/>
      <c r="FN46" s="1322"/>
      <c r="FO46" s="1322"/>
      <c r="FP46" s="1322"/>
      <c r="FQ46" s="1322"/>
      <c r="FR46" s="1322"/>
      <c r="FS46" s="1322"/>
      <c r="FT46" s="1322"/>
      <c r="FU46" s="1322"/>
      <c r="FV46" s="1322"/>
      <c r="FW46" s="1322"/>
      <c r="FX46" s="1322"/>
      <c r="FY46" s="1322"/>
      <c r="FZ46" s="1322"/>
      <c r="GA46" s="1322"/>
      <c r="GB46" s="1322"/>
      <c r="GC46" s="1322"/>
      <c r="GD46" s="1323">
        <f>GD47-GE46</f>
        <v>0</v>
      </c>
      <c r="GE46" s="1324"/>
      <c r="GF46" s="1322"/>
      <c r="GG46" s="1322"/>
      <c r="GH46" s="1322"/>
      <c r="GI46" s="1322"/>
      <c r="GJ46" s="1325">
        <f>GJ47-GK46</f>
        <v>2659293.25</v>
      </c>
      <c r="GK46" s="1318">
        <v>50526359.969999999</v>
      </c>
      <c r="GL46" s="1326"/>
      <c r="GM46" s="1326"/>
      <c r="GN46" s="1326"/>
      <c r="GO46" s="1326"/>
      <c r="GP46" s="1326"/>
      <c r="GQ46" s="1326"/>
      <c r="GR46" s="1326"/>
      <c r="GS46" s="1326"/>
      <c r="GT46" s="1326"/>
      <c r="GU46" s="1326"/>
      <c r="GV46" s="1320"/>
      <c r="GW46" s="1320"/>
      <c r="GX46" s="1320"/>
      <c r="GY46" s="1007"/>
      <c r="GZ46" s="1007"/>
      <c r="HA46" s="1325">
        <f>HA47-HB46</f>
        <v>7396800</v>
      </c>
      <c r="HB46" s="1318">
        <v>140539200</v>
      </c>
      <c r="HC46" s="1304">
        <v>510159537.01999998</v>
      </c>
      <c r="HD46" s="1312"/>
      <c r="HE46" s="1007"/>
      <c r="HF46" s="1312"/>
      <c r="HG46" s="1007"/>
      <c r="HH46" s="1312"/>
      <c r="HI46" s="1312"/>
      <c r="HJ46" s="1312"/>
      <c r="HK46" s="1327"/>
      <c r="HL46" s="1322"/>
      <c r="HM46" s="1322"/>
      <c r="HN46" s="1322"/>
      <c r="HO46" s="1322"/>
      <c r="HP46" s="1325">
        <f>HP47-HQ46</f>
        <v>30112413.840000033</v>
      </c>
      <c r="HQ46" s="1328">
        <v>572135749.15999997</v>
      </c>
      <c r="HR46" s="1322"/>
      <c r="HS46" s="1322"/>
      <c r="HT46" s="1322"/>
      <c r="HU46" s="1322"/>
      <c r="HV46" s="1325">
        <f>HV47-HW46</f>
        <v>1456788.7899999917</v>
      </c>
      <c r="HW46" s="1318">
        <v>144222088.74000001</v>
      </c>
      <c r="HX46" s="1329"/>
      <c r="HY46" s="1329"/>
      <c r="HZ46" s="1329"/>
      <c r="IA46" s="1329"/>
      <c r="IB46" s="1329"/>
      <c r="IC46" s="1329"/>
      <c r="ID46" s="1329"/>
      <c r="IE46" s="1329"/>
      <c r="IF46" s="1329"/>
      <c r="IG46" s="1329"/>
      <c r="IH46" s="1329"/>
      <c r="II46" s="1329"/>
      <c r="IJ46" s="1329"/>
      <c r="IK46" s="1329"/>
      <c r="IL46" s="1329"/>
      <c r="IM46" s="1329"/>
      <c r="IN46" s="1329"/>
      <c r="IO46" s="1329"/>
      <c r="IP46" s="1330"/>
      <c r="IQ46" s="1319"/>
      <c r="IR46" s="1319"/>
      <c r="IS46" s="1319"/>
      <c r="IT46" s="1315">
        <f>IT47-IU46</f>
        <v>0</v>
      </c>
      <c r="IU46" s="1315"/>
      <c r="IV46" s="1319"/>
      <c r="IW46" s="1319"/>
      <c r="IX46" s="1319"/>
      <c r="IY46" s="1319"/>
      <c r="IZ46" s="1319"/>
      <c r="JA46" s="1319"/>
      <c r="JB46" s="1319"/>
      <c r="JC46" s="1319"/>
      <c r="JD46" s="1319"/>
      <c r="JE46" s="1319"/>
      <c r="JF46" s="1319"/>
      <c r="JG46" s="1319"/>
      <c r="JH46" s="1319"/>
      <c r="JI46" s="1319"/>
      <c r="JJ46" s="1315">
        <f>JJ47-JK46</f>
        <v>29645.709999999963</v>
      </c>
      <c r="JK46" s="828">
        <v>563268.53</v>
      </c>
      <c r="JL46" s="1319"/>
      <c r="JM46" s="1319"/>
      <c r="JN46" s="1319"/>
      <c r="JO46" s="1319"/>
      <c r="JP46" s="1315">
        <f>JP47-JQ46</f>
        <v>874267.57999999961</v>
      </c>
      <c r="JQ46" s="794">
        <v>2488299.9900000002</v>
      </c>
      <c r="JR46" s="992"/>
      <c r="JS46" s="992"/>
      <c r="JT46" s="992"/>
      <c r="JU46" s="992"/>
      <c r="JV46" s="1331"/>
      <c r="JW46" s="1331"/>
      <c r="JX46" s="992"/>
      <c r="JY46" s="992"/>
      <c r="JZ46" s="992"/>
      <c r="KA46" s="992"/>
      <c r="KB46" s="992"/>
      <c r="KC46" s="992"/>
      <c r="KD46" s="992"/>
      <c r="KE46" s="992"/>
      <c r="KF46" s="992"/>
      <c r="KG46" s="992"/>
      <c r="KH46" s="992"/>
      <c r="KI46" s="992"/>
      <c r="KJ46" s="992"/>
      <c r="KK46" s="992"/>
      <c r="KL46" s="992"/>
      <c r="KM46" s="992"/>
      <c r="KN46" s="992"/>
      <c r="KO46" s="992"/>
      <c r="KP46" s="992"/>
      <c r="KQ46" s="992"/>
      <c r="KR46" s="992"/>
      <c r="KS46" s="992"/>
      <c r="KT46" s="992"/>
      <c r="KU46" s="992"/>
      <c r="KV46" s="1315">
        <f>KV47-KW46</f>
        <v>0</v>
      </c>
      <c r="KW46" s="794"/>
      <c r="KX46" s="1315">
        <f>KX47-KY46</f>
        <v>0</v>
      </c>
      <c r="KY46" s="794"/>
      <c r="KZ46" s="992"/>
      <c r="LA46" s="992"/>
      <c r="LB46" s="992"/>
      <c r="LC46" s="992"/>
      <c r="LD46" s="992"/>
      <c r="LE46" s="992"/>
      <c r="LF46" s="992"/>
      <c r="LG46" s="992"/>
      <c r="LH46" s="992"/>
      <c r="LI46" s="992"/>
      <c r="LJ46" s="992"/>
      <c r="LK46" s="992"/>
      <c r="LL46" s="992"/>
      <c r="LM46" s="992"/>
      <c r="LN46" s="992"/>
      <c r="LO46" s="992"/>
      <c r="LP46" s="992"/>
      <c r="LQ46" s="992"/>
      <c r="LR46" s="992"/>
      <c r="LS46" s="992"/>
      <c r="LT46" s="992"/>
      <c r="LU46" s="992"/>
      <c r="LV46" s="992"/>
      <c r="LW46" s="992"/>
      <c r="LX46" s="992"/>
      <c r="LY46" s="992"/>
      <c r="LZ46" s="992"/>
      <c r="MA46" s="794"/>
      <c r="MB46" s="1315">
        <f>MB47-MC46</f>
        <v>5488602.2899999991</v>
      </c>
      <c r="MC46" s="1318">
        <v>15621406.539999999</v>
      </c>
      <c r="MD46" s="992"/>
      <c r="ME46" s="992"/>
      <c r="MF46" s="992"/>
      <c r="MG46" s="992"/>
      <c r="MH46" s="992"/>
      <c r="MI46" s="992"/>
      <c r="MJ46" s="992"/>
      <c r="MK46" s="992"/>
      <c r="ML46" s="992"/>
      <c r="MM46" s="992"/>
      <c r="MN46" s="992"/>
      <c r="MO46" s="992"/>
      <c r="MP46" s="992"/>
      <c r="MQ46" s="992"/>
      <c r="MR46" s="992"/>
      <c r="MS46" s="992"/>
      <c r="MT46" s="992"/>
      <c r="MU46" s="992"/>
      <c r="MV46" s="992"/>
      <c r="MW46" s="992"/>
      <c r="MX46" s="992"/>
      <c r="MY46" s="992"/>
      <c r="MZ46" s="992"/>
      <c r="NA46" s="992"/>
      <c r="NB46" s="996"/>
      <c r="NC46" s="996"/>
      <c r="ND46" s="996"/>
      <c r="NE46" s="996"/>
      <c r="NF46" s="996"/>
      <c r="NG46" s="996"/>
      <c r="NH46" s="996"/>
      <c r="NI46" s="996"/>
      <c r="NJ46" s="996"/>
      <c r="NK46" s="1315">
        <f>NK47-NL46</f>
        <v>0</v>
      </c>
      <c r="NL46" s="1315"/>
      <c r="NM46" s="1315">
        <f>NM47-NN46</f>
        <v>170334.30000000005</v>
      </c>
      <c r="NN46" s="1328">
        <v>484797.61</v>
      </c>
      <c r="NO46" s="1321"/>
      <c r="NP46" s="1315">
        <f>NP47-NQ46</f>
        <v>993108.16999999993</v>
      </c>
      <c r="NQ46" s="1318">
        <v>2826538.59</v>
      </c>
      <c r="NR46" s="996"/>
      <c r="NS46" s="996"/>
      <c r="NT46" s="996"/>
      <c r="NU46" s="996"/>
      <c r="NV46" s="996"/>
      <c r="NW46" s="996"/>
      <c r="NX46" s="1188"/>
      <c r="NY46" s="1188"/>
      <c r="NZ46" s="1188"/>
      <c r="OA46" s="1188"/>
      <c r="OB46" s="1188"/>
      <c r="OC46" s="1188"/>
      <c r="OD46" s="1188"/>
      <c r="OE46" s="1188"/>
      <c r="OF46" s="1188"/>
      <c r="OG46" s="1188"/>
      <c r="OH46" s="1188"/>
      <c r="OI46" s="1188"/>
      <c r="OJ46" s="1188"/>
      <c r="OK46" s="1188"/>
      <c r="OL46" s="1188"/>
      <c r="OM46" s="1188"/>
      <c r="ON46" s="1188"/>
      <c r="OO46" s="1332">
        <f>OO47-OP46</f>
        <v>0</v>
      </c>
      <c r="OP46" s="1333"/>
      <c r="OQ46" s="1332"/>
      <c r="OR46" s="992"/>
      <c r="OS46" s="992"/>
      <c r="OT46" s="992"/>
      <c r="OU46" s="992"/>
      <c r="OV46" s="992"/>
      <c r="OW46" s="1315">
        <f>OW47-OX46</f>
        <v>6651685.6299999952</v>
      </c>
      <c r="OX46" s="1318">
        <v>126381994.62</v>
      </c>
      <c r="OY46" s="1304">
        <v>76254899.439999998</v>
      </c>
      <c r="OZ46" s="992"/>
      <c r="PA46" s="992"/>
      <c r="PB46" s="992"/>
      <c r="PC46" s="992"/>
      <c r="PD46" s="992"/>
      <c r="PE46" s="992"/>
      <c r="PF46" s="992"/>
      <c r="PG46" s="992"/>
      <c r="PH46" s="992"/>
      <c r="PI46" s="992"/>
      <c r="PJ46" s="992"/>
      <c r="PK46" s="992"/>
      <c r="PL46" s="992"/>
      <c r="PM46" s="992"/>
      <c r="PN46" s="992"/>
      <c r="PO46" s="992"/>
      <c r="PP46" s="992"/>
      <c r="PQ46" s="992"/>
      <c r="PR46" s="992"/>
      <c r="PS46" s="992"/>
      <c r="PT46" s="992"/>
      <c r="PU46" s="992"/>
      <c r="PV46" s="992"/>
      <c r="PW46" s="992"/>
      <c r="PX46" s="992"/>
      <c r="PY46" s="992"/>
      <c r="PZ46" s="992"/>
      <c r="QA46" s="992"/>
      <c r="QB46" s="992"/>
      <c r="QC46" s="992"/>
      <c r="QD46" s="1315">
        <f>QD47-QE46</f>
        <v>62401.110000000102</v>
      </c>
      <c r="QE46" s="794">
        <v>1185621.1599999999</v>
      </c>
      <c r="QF46" s="1319"/>
      <c r="QG46" s="1319"/>
      <c r="QH46" s="1007"/>
      <c r="QI46" s="1007"/>
      <c r="QJ46" s="1007"/>
      <c r="QK46" s="1007"/>
      <c r="QL46" s="1007"/>
      <c r="QM46" s="1007"/>
      <c r="QN46" s="1007"/>
      <c r="QO46" s="1007"/>
      <c r="QP46" s="1007"/>
      <c r="QQ46" s="1007"/>
      <c r="QR46" s="1007"/>
      <c r="QS46" s="1007"/>
      <c r="QT46" s="1007"/>
      <c r="QU46" s="1007"/>
      <c r="QV46" s="1007"/>
      <c r="QW46" s="1158"/>
      <c r="QX46" s="1158"/>
      <c r="QY46" s="1158"/>
      <c r="QZ46" s="1322"/>
      <c r="RA46" s="1322"/>
      <c r="RB46" s="1322"/>
      <c r="RC46" s="1322"/>
      <c r="RD46" s="1325">
        <f>RD47-RE46</f>
        <v>81991.949999999953</v>
      </c>
      <c r="RE46" s="768">
        <v>1557847.01</v>
      </c>
      <c r="RF46" s="1317"/>
      <c r="RG46" s="1317"/>
      <c r="RH46" s="1317"/>
      <c r="RI46" s="1317"/>
      <c r="RJ46" s="1325">
        <f>RJ47-RK46</f>
        <v>0</v>
      </c>
      <c r="RK46" s="1334"/>
      <c r="RL46" s="1335"/>
      <c r="RM46" s="1335"/>
      <c r="RN46" s="1335"/>
      <c r="RO46" s="1335"/>
      <c r="RP46" s="1335"/>
      <c r="RQ46" s="1335"/>
      <c r="RR46" s="1335"/>
      <c r="RS46" s="1335"/>
      <c r="RT46" s="1335"/>
      <c r="RU46" s="1335"/>
      <c r="RV46" s="1335"/>
      <c r="RW46" s="1335"/>
      <c r="RX46" s="1335"/>
      <c r="RY46" s="1335"/>
      <c r="RZ46" s="1335"/>
      <c r="SA46" s="1335"/>
      <c r="SB46" s="1335"/>
      <c r="SC46" s="1335"/>
      <c r="SD46" s="1007"/>
      <c r="SE46" s="1007"/>
      <c r="SF46" s="1007"/>
      <c r="SG46" s="1007"/>
      <c r="SH46" s="1007"/>
      <c r="SI46" s="1007"/>
      <c r="SJ46" s="1007"/>
      <c r="SK46" s="1007"/>
      <c r="SL46" s="1007"/>
      <c r="SM46" s="1007"/>
      <c r="SN46" s="1007"/>
      <c r="SO46" s="1304">
        <v>33305116.539999999</v>
      </c>
      <c r="SP46" s="1336">
        <f>SP47-SQ46</f>
        <v>80460118.549999982</v>
      </c>
      <c r="SQ46" s="1318">
        <v>246865917.15000001</v>
      </c>
      <c r="SR46" s="1007"/>
      <c r="SS46" s="1007"/>
      <c r="ST46" s="1007"/>
      <c r="SU46" s="1007"/>
      <c r="SV46" s="1007"/>
      <c r="SW46" s="1007"/>
      <c r="SX46" s="1007"/>
      <c r="SY46" s="1007"/>
      <c r="SZ46" s="1007"/>
      <c r="TA46" s="1007"/>
      <c r="TB46" s="1007"/>
      <c r="TC46" s="1007"/>
      <c r="TD46" s="1007"/>
      <c r="TE46" s="1007"/>
      <c r="TF46" s="1315">
        <f>TF47-TG46</f>
        <v>1521055.5799999982</v>
      </c>
      <c r="TG46" s="1318">
        <v>28900057.550000001</v>
      </c>
      <c r="TH46" s="1315">
        <f>TH47-TI46</f>
        <v>0</v>
      </c>
      <c r="TI46" s="1315"/>
      <c r="TJ46" s="1315">
        <f>TJ47-TK46</f>
        <v>31777162.530000091</v>
      </c>
      <c r="TK46" s="1318">
        <v>603766088.17999995</v>
      </c>
      <c r="TL46" s="1007"/>
      <c r="TM46" s="1007"/>
      <c r="TN46" s="1007"/>
      <c r="TO46" s="1007"/>
      <c r="TP46" s="1007"/>
      <c r="TQ46" s="1007"/>
      <c r="TR46" s="1007"/>
      <c r="TS46" s="1007"/>
      <c r="TT46" s="1007"/>
      <c r="TU46" s="1007"/>
      <c r="TV46" s="1007"/>
      <c r="TW46" s="1007"/>
      <c r="TX46" s="1007"/>
      <c r="TY46" s="1007"/>
      <c r="TZ46" s="1007"/>
      <c r="UA46" s="1007"/>
      <c r="UB46" s="1007"/>
      <c r="UC46" s="1007"/>
      <c r="UD46" s="1007"/>
      <c r="UE46" s="1007"/>
      <c r="UF46" s="1007"/>
      <c r="UG46" s="1007"/>
      <c r="UH46" s="1007"/>
      <c r="UI46" s="1007"/>
      <c r="UJ46" s="1007"/>
      <c r="UK46" s="1007"/>
      <c r="UL46" s="1007"/>
      <c r="UM46" s="1007"/>
      <c r="UN46" s="1007"/>
      <c r="UO46" s="1007"/>
      <c r="UP46" s="1007"/>
      <c r="UQ46" s="1007"/>
      <c r="UR46" s="1007"/>
      <c r="US46" s="1007"/>
      <c r="UT46" s="1007"/>
      <c r="UU46" s="1007"/>
      <c r="UV46" s="1007"/>
      <c r="UW46" s="1007"/>
      <c r="UX46" s="1007"/>
      <c r="UY46" s="1007"/>
      <c r="UZ46" s="1007"/>
      <c r="VA46" s="1007"/>
      <c r="VB46" s="1185"/>
      <c r="VC46" s="1185"/>
      <c r="VD46" s="1185"/>
      <c r="VE46" s="1185"/>
      <c r="VF46" s="1185"/>
      <c r="VG46" s="1185"/>
      <c r="VH46" s="1185"/>
      <c r="VI46" s="1185"/>
      <c r="VJ46" s="993"/>
      <c r="VK46" s="694"/>
      <c r="VL46" s="694"/>
      <c r="VM46" s="993"/>
      <c r="VN46" s="694"/>
      <c r="VO46" s="993"/>
      <c r="VP46" s="1188"/>
      <c r="VQ46" s="1188"/>
      <c r="VR46" s="1188"/>
      <c r="VS46" s="1188"/>
      <c r="VT46" s="1188"/>
      <c r="VU46" s="1188"/>
      <c r="VV46" s="1185"/>
      <c r="VW46" s="1185"/>
      <c r="VX46" s="1185"/>
      <c r="VY46" s="1185"/>
      <c r="VZ46" s="1185"/>
      <c r="WA46" s="1185"/>
      <c r="WB46" s="1185"/>
      <c r="WC46" s="1185"/>
      <c r="WD46" s="1185"/>
      <c r="WE46" s="1185"/>
      <c r="WF46" s="1185"/>
      <c r="WG46" s="1185"/>
      <c r="WH46" s="1185"/>
      <c r="WI46" s="1185"/>
      <c r="WJ46" s="1337">
        <f t="shared" ref="WJ46" si="577">WJ47-WK46</f>
        <v>84414304.519999981</v>
      </c>
      <c r="WK46" s="1338">
        <f>WK38</f>
        <v>240256097.44</v>
      </c>
      <c r="WL46" s="1185"/>
      <c r="WM46" s="1185"/>
      <c r="WN46" s="1185"/>
      <c r="WO46" s="1185"/>
      <c r="WP46" s="1316">
        <f t="shared" ref="WP46" si="578">WP47-WQ46</f>
        <v>0</v>
      </c>
      <c r="WQ46" s="1317"/>
      <c r="WR46" s="1185"/>
      <c r="WS46" s="1185"/>
      <c r="WT46" s="1339"/>
      <c r="WU46" s="1339"/>
      <c r="WV46" s="1339"/>
      <c r="WW46" s="1339"/>
      <c r="WX46" s="1325">
        <f>WX47-WY46</f>
        <v>43855.010000000009</v>
      </c>
      <c r="WY46" s="1328">
        <f>WY38</f>
        <v>833244.57</v>
      </c>
      <c r="WZ46" s="1185"/>
      <c r="XA46" s="1185"/>
      <c r="XB46" s="1185"/>
      <c r="XC46" s="1185"/>
      <c r="XD46" s="1316">
        <f t="shared" ref="XD46" si="579">XD47-XE46</f>
        <v>1825131.8099999949</v>
      </c>
      <c r="XE46" s="1338">
        <f>XE38</f>
        <v>34677502.580000006</v>
      </c>
      <c r="XF46" s="1185"/>
      <c r="XG46" s="1185"/>
      <c r="XH46" s="1185"/>
      <c r="XI46" s="1185"/>
      <c r="XJ46" s="1185"/>
      <c r="XK46" s="1185"/>
      <c r="XL46" s="1185"/>
      <c r="XM46" s="1185"/>
      <c r="XN46" s="1185"/>
      <c r="XO46" s="1304">
        <v>7504113.5300000003</v>
      </c>
      <c r="XP46" s="1185"/>
      <c r="XQ46" s="1185"/>
      <c r="XR46" s="1185"/>
      <c r="XS46" s="1185"/>
      <c r="XT46" s="1185"/>
      <c r="XU46" s="1185"/>
      <c r="XV46" s="1185"/>
      <c r="XW46" s="1185"/>
      <c r="XX46" s="996"/>
      <c r="XY46" s="996"/>
      <c r="XZ46" s="996"/>
      <c r="YA46" s="996"/>
      <c r="YB46" s="996"/>
      <c r="YC46" s="996"/>
      <c r="YD46" s="996"/>
      <c r="YE46" s="996"/>
      <c r="YF46" s="996"/>
      <c r="YG46" s="996"/>
      <c r="YH46" s="996"/>
      <c r="YI46" s="996"/>
      <c r="YJ46" s="1304">
        <v>132231129.48</v>
      </c>
      <c r="YK46" s="1304">
        <v>16188782.789999999</v>
      </c>
      <c r="YL46" s="1304">
        <v>30149642.579999998</v>
      </c>
      <c r="YM46" s="1304">
        <v>151401068.86000001</v>
      </c>
      <c r="YN46" s="1304">
        <v>166609560</v>
      </c>
      <c r="YO46" s="1304">
        <v>17249909.460000001</v>
      </c>
      <c r="YP46" s="1304">
        <v>10488606.550000001</v>
      </c>
      <c r="YQ46" s="1009"/>
      <c r="YR46" s="1009"/>
      <c r="YS46" s="1304">
        <v>31406220.010000002</v>
      </c>
      <c r="YT46" s="1004"/>
      <c r="YU46" s="1004"/>
      <c r="YV46" s="1004"/>
      <c r="YW46" s="1004"/>
      <c r="YX46" s="1004"/>
      <c r="YY46" s="1004"/>
      <c r="YZ46" s="1004"/>
      <c r="ZA46" s="1004"/>
      <c r="ZB46" s="1004"/>
      <c r="ZC46" s="1004"/>
      <c r="ZD46" s="1004"/>
      <c r="ZE46" s="1004"/>
      <c r="ZF46" s="1004"/>
      <c r="ZG46" s="1004"/>
      <c r="ZH46" s="1004"/>
      <c r="ZI46" s="1004"/>
      <c r="ZJ46" s="1004"/>
      <c r="ZK46" s="1004"/>
      <c r="ZL46" s="1004"/>
      <c r="ZM46" s="1004"/>
      <c r="ZN46" s="1004"/>
      <c r="ZO46" s="1004"/>
      <c r="ZP46" s="1004"/>
      <c r="ZQ46" s="1004"/>
      <c r="ZR46" s="1004"/>
      <c r="ZS46" s="1004"/>
      <c r="ZT46" s="1004"/>
      <c r="ZU46" s="1004"/>
      <c r="ZV46" s="1004"/>
      <c r="ZW46" s="1004"/>
      <c r="ZX46" s="1004"/>
      <c r="ZY46" s="1004"/>
      <c r="ZZ46" s="1004"/>
      <c r="AAA46" s="1004"/>
      <c r="AAB46" s="1004"/>
      <c r="AAC46" s="1004"/>
      <c r="AAD46" s="993"/>
      <c r="AAE46" s="993"/>
      <c r="AAF46" s="1010"/>
      <c r="AAG46" s="1010"/>
      <c r="AAH46" s="994"/>
      <c r="AAI46" s="994"/>
      <c r="AAJ46" s="694"/>
      <c r="AAK46" s="694"/>
      <c r="AAL46" s="694"/>
      <c r="AAM46" s="694"/>
      <c r="AAN46" s="1011">
        <v>-1638800000.1600001</v>
      </c>
      <c r="AAO46" s="1011">
        <v>-30000000</v>
      </c>
      <c r="AAP46" s="994"/>
      <c r="AAQ46" s="994"/>
      <c r="AAR46" s="694"/>
      <c r="AAS46" s="694"/>
      <c r="AAT46" s="694"/>
      <c r="AAU46" s="694"/>
      <c r="AAV46" s="694"/>
      <c r="AAW46" s="694"/>
    </row>
    <row r="47" spans="1:725" ht="20.25" x14ac:dyDescent="0.25">
      <c r="A47" s="694"/>
      <c r="B47" s="694"/>
      <c r="C47" s="694"/>
      <c r="D47" s="993"/>
      <c r="E47" s="992"/>
      <c r="F47" s="992"/>
      <c r="G47" s="992"/>
      <c r="H47" s="992"/>
      <c r="I47" s="1185"/>
      <c r="J47" s="1185"/>
      <c r="K47" s="1185"/>
      <c r="L47" s="1185"/>
      <c r="M47" s="1185"/>
      <c r="N47" s="1185"/>
      <c r="O47" s="1185"/>
      <c r="P47" s="1185"/>
      <c r="Q47" s="694"/>
      <c r="R47" s="694"/>
      <c r="S47" s="694"/>
      <c r="T47" s="694"/>
      <c r="U47" s="694"/>
      <c r="V47" s="1006"/>
      <c r="W47" s="1006"/>
      <c r="X47" s="1006"/>
      <c r="Y47" s="1006"/>
      <c r="Z47" s="694"/>
      <c r="AA47" s="694"/>
      <c r="AB47" s="694"/>
      <c r="AC47" s="694"/>
      <c r="AD47" s="1006"/>
      <c r="AE47" s="1006"/>
      <c r="AF47" s="1006"/>
      <c r="AG47" s="694"/>
      <c r="AH47" s="1006"/>
      <c r="AI47" s="1006"/>
      <c r="AJ47" s="1006"/>
      <c r="AK47" s="1006"/>
      <c r="AL47" s="1006"/>
      <c r="AM47" s="1006"/>
      <c r="AN47" s="1185"/>
      <c r="AO47" s="1340"/>
      <c r="AP47" s="1340"/>
      <c r="AQ47" s="1007"/>
      <c r="AR47" s="1007"/>
      <c r="AS47" s="1340"/>
      <c r="AT47" s="1341"/>
      <c r="AU47" s="1341"/>
      <c r="AV47" s="1340"/>
      <c r="AW47" s="994"/>
      <c r="AX47" s="1340"/>
      <c r="AY47" s="994"/>
      <c r="AZ47" s="1340"/>
      <c r="BA47" s="996"/>
      <c r="BB47" s="1340"/>
      <c r="BC47" s="996"/>
      <c r="BD47" s="1340"/>
      <c r="BE47" s="996"/>
      <c r="BF47" s="1340"/>
      <c r="BG47" s="996"/>
      <c r="BH47" s="1007"/>
      <c r="BI47" s="1007"/>
      <c r="BJ47" s="1007"/>
      <c r="BK47" s="1342"/>
      <c r="BL47" s="1007"/>
      <c r="BM47" s="1007"/>
      <c r="BN47" s="1007"/>
      <c r="BO47" s="1007"/>
      <c r="BP47" s="1008"/>
      <c r="BQ47" s="1008"/>
      <c r="BR47" s="1008"/>
      <c r="BS47" s="1008"/>
      <c r="BT47" s="1185"/>
      <c r="BU47" s="1320">
        <f>BU46-BU39</f>
        <v>0</v>
      </c>
      <c r="BV47" s="1185"/>
      <c r="BW47" s="1185"/>
      <c r="BX47" s="1185"/>
      <c r="BY47" s="1185"/>
      <c r="BZ47" s="1185"/>
      <c r="CA47" s="1185"/>
      <c r="CB47" s="694"/>
      <c r="CC47" s="694"/>
      <c r="CD47" s="694"/>
      <c r="CE47" s="992"/>
      <c r="CF47" s="992"/>
      <c r="CG47" s="992"/>
      <c r="CH47" s="1185"/>
      <c r="CI47" s="1341"/>
      <c r="CJ47" s="1185"/>
      <c r="CK47" s="1185"/>
      <c r="CL47" s="1185"/>
      <c r="CM47" s="1185"/>
      <c r="CN47" s="1185"/>
      <c r="CO47" s="1185"/>
      <c r="CP47" s="1007"/>
      <c r="CQ47" s="1007"/>
      <c r="CR47" s="1007"/>
      <c r="CS47" s="1007"/>
      <c r="CT47" s="1343"/>
      <c r="CU47" s="1343"/>
      <c r="CV47" s="1007"/>
      <c r="CW47" s="1007"/>
      <c r="CX47" s="1007"/>
      <c r="CY47" s="1007"/>
      <c r="CZ47" s="1007"/>
      <c r="DA47" s="1007"/>
      <c r="DB47" s="1007"/>
      <c r="DC47" s="1007"/>
      <c r="DD47" s="1304">
        <v>0</v>
      </c>
      <c r="DE47" s="1333"/>
      <c r="DF47" s="1304">
        <v>233962981.84999999</v>
      </c>
      <c r="DG47" s="1333"/>
      <c r="DH47" s="1304">
        <v>68208891.629999995</v>
      </c>
      <c r="DI47" s="1333"/>
      <c r="DJ47" s="1343"/>
      <c r="DK47" s="1343"/>
      <c r="DL47" s="1343"/>
      <c r="DM47" s="1343"/>
      <c r="DN47" s="1343"/>
      <c r="DO47" s="1343"/>
      <c r="DP47" s="1343"/>
      <c r="DQ47" s="1343"/>
      <c r="DR47" s="1343"/>
      <c r="DS47" s="1343"/>
      <c r="DT47" s="1320"/>
      <c r="DU47" s="1320"/>
      <c r="DV47" s="1320"/>
      <c r="DW47" s="1320"/>
      <c r="DX47" s="1320"/>
      <c r="DY47" s="1343"/>
      <c r="DZ47" s="1343"/>
      <c r="EA47" s="1343"/>
      <c r="EB47" s="1007"/>
      <c r="EC47" s="1007"/>
      <c r="ED47" s="1007"/>
      <c r="EE47" s="1007"/>
      <c r="EF47" s="1304">
        <v>0</v>
      </c>
      <c r="EG47" s="1343"/>
      <c r="EH47" s="1007"/>
      <c r="EI47" s="1007"/>
      <c r="EJ47" s="1007"/>
      <c r="EK47" s="1007"/>
      <c r="EL47" s="1007"/>
      <c r="EM47" s="1007"/>
      <c r="EN47" s="1343"/>
      <c r="EO47" s="1343"/>
      <c r="EP47" s="1343"/>
      <c r="EQ47" s="1343"/>
      <c r="ER47" s="1343"/>
      <c r="ES47" s="1304"/>
      <c r="ET47" s="1304">
        <v>422861842.06</v>
      </c>
      <c r="EU47" s="1343"/>
      <c r="EV47" s="1343"/>
      <c r="EW47" s="1343"/>
      <c r="EX47" s="1343"/>
      <c r="EY47" s="1343"/>
      <c r="EZ47" s="1304">
        <v>109618863.97</v>
      </c>
      <c r="FA47" s="1343"/>
      <c r="FB47" s="1333"/>
      <c r="FC47" s="1333"/>
      <c r="FD47" s="1333"/>
      <c r="FE47" s="1333"/>
      <c r="FF47" s="1304">
        <v>842629.03</v>
      </c>
      <c r="FG47" s="1333"/>
      <c r="FH47" s="1333"/>
      <c r="FI47" s="1333"/>
      <c r="FJ47" s="1333"/>
      <c r="FK47" s="1333"/>
      <c r="FL47" s="1333"/>
      <c r="FM47" s="1333"/>
      <c r="FN47" s="1333"/>
      <c r="FO47" s="1333"/>
      <c r="FP47" s="1333"/>
      <c r="FQ47" s="1333"/>
      <c r="FR47" s="1333"/>
      <c r="FS47" s="1333"/>
      <c r="FT47" s="1333"/>
      <c r="FU47" s="1333"/>
      <c r="FV47" s="1333"/>
      <c r="FW47" s="1333"/>
      <c r="FX47" s="1333"/>
      <c r="FY47" s="1333"/>
      <c r="FZ47" s="1333"/>
      <c r="GA47" s="1333"/>
      <c r="GB47" s="1333"/>
      <c r="GC47" s="1333"/>
      <c r="GD47" s="1334"/>
      <c r="GE47" s="1333"/>
      <c r="GF47" s="1333"/>
      <c r="GG47" s="1333"/>
      <c r="GH47" s="1333"/>
      <c r="GI47" s="1333"/>
      <c r="GJ47" s="1304">
        <v>53185653.219999999</v>
      </c>
      <c r="GK47" s="1333"/>
      <c r="GL47" s="1333"/>
      <c r="GM47" s="1333"/>
      <c r="GN47" s="1333"/>
      <c r="GO47" s="1333"/>
      <c r="GP47" s="1333"/>
      <c r="GQ47" s="1333"/>
      <c r="GR47" s="1333"/>
      <c r="GS47" s="1333"/>
      <c r="GT47" s="1333"/>
      <c r="GU47" s="1333"/>
      <c r="GV47" s="1320"/>
      <c r="GW47" s="1320"/>
      <c r="GX47" s="1320"/>
      <c r="GY47" s="1007"/>
      <c r="GZ47" s="1007"/>
      <c r="HA47" s="1304">
        <v>147936000</v>
      </c>
      <c r="HB47" s="1333"/>
      <c r="HC47" s="1342"/>
      <c r="HD47" s="1342"/>
      <c r="HE47" s="1007"/>
      <c r="HF47" s="1342"/>
      <c r="HG47" s="1007"/>
      <c r="HH47" s="1342"/>
      <c r="HI47" s="1342"/>
      <c r="HJ47" s="1342"/>
      <c r="HK47" s="1342"/>
      <c r="HL47" s="1333"/>
      <c r="HM47" s="1333"/>
      <c r="HN47" s="1333"/>
      <c r="HO47" s="1333"/>
      <c r="HP47" s="1304">
        <v>602248163</v>
      </c>
      <c r="HQ47" s="1333"/>
      <c r="HR47" s="1333"/>
      <c r="HS47" s="1333"/>
      <c r="HT47" s="1333"/>
      <c r="HU47" s="1333"/>
      <c r="HV47" s="1304">
        <v>145678877.53</v>
      </c>
      <c r="HW47" s="1333"/>
      <c r="HX47" s="1333"/>
      <c r="HY47" s="1333"/>
      <c r="HZ47" s="1333"/>
      <c r="IA47" s="1333"/>
      <c r="IB47" s="1333"/>
      <c r="IC47" s="1333"/>
      <c r="ID47" s="1333"/>
      <c r="IE47" s="1333"/>
      <c r="IF47" s="1333"/>
      <c r="IG47" s="1333"/>
      <c r="IH47" s="1333"/>
      <c r="II47" s="1333"/>
      <c r="IJ47" s="1333"/>
      <c r="IK47" s="1333"/>
      <c r="IL47" s="1333"/>
      <c r="IM47" s="1333"/>
      <c r="IN47" s="1333"/>
      <c r="IO47" s="1333"/>
      <c r="IP47" s="1343"/>
      <c r="IQ47" s="1343"/>
      <c r="IR47" s="1343"/>
      <c r="IS47" s="1343"/>
      <c r="IT47" s="1343"/>
      <c r="IU47" s="1343"/>
      <c r="IV47" s="1343"/>
      <c r="IW47" s="1343"/>
      <c r="IX47" s="1343"/>
      <c r="IY47" s="1343"/>
      <c r="IZ47" s="1343"/>
      <c r="JA47" s="1343"/>
      <c r="JB47" s="1343"/>
      <c r="JC47" s="1343"/>
      <c r="JD47" s="1343"/>
      <c r="JE47" s="1343"/>
      <c r="JF47" s="1343"/>
      <c r="JG47" s="1343"/>
      <c r="JH47" s="1343"/>
      <c r="JI47" s="1343"/>
      <c r="JJ47" s="1304">
        <v>592914.24</v>
      </c>
      <c r="JK47" s="1343"/>
      <c r="JL47" s="1343"/>
      <c r="JM47" s="1343"/>
      <c r="JN47" s="1343"/>
      <c r="JO47" s="1343"/>
      <c r="JP47" s="1304">
        <v>3362567.57</v>
      </c>
      <c r="JQ47" s="1343"/>
      <c r="JR47" s="992"/>
      <c r="JS47" s="992"/>
      <c r="JT47" s="992"/>
      <c r="JU47" s="992"/>
      <c r="JV47" s="1344"/>
      <c r="JW47" s="1344"/>
      <c r="JX47" s="992"/>
      <c r="JY47" s="992"/>
      <c r="JZ47" s="992"/>
      <c r="KA47" s="992"/>
      <c r="KB47" s="992"/>
      <c r="KC47" s="992"/>
      <c r="KD47" s="992"/>
      <c r="KE47" s="992"/>
      <c r="KF47" s="992"/>
      <c r="KG47" s="992"/>
      <c r="KH47" s="992"/>
      <c r="KI47" s="992"/>
      <c r="KJ47" s="992"/>
      <c r="KK47" s="992"/>
      <c r="KL47" s="992"/>
      <c r="KM47" s="992"/>
      <c r="KN47" s="992"/>
      <c r="KO47" s="992"/>
      <c r="KP47" s="992"/>
      <c r="KQ47" s="992"/>
      <c r="KR47" s="992"/>
      <c r="KS47" s="992"/>
      <c r="KT47" s="992"/>
      <c r="KU47" s="992"/>
      <c r="KV47" s="1304">
        <v>0</v>
      </c>
      <c r="KW47" s="1343"/>
      <c r="KX47" s="1304"/>
      <c r="KY47" s="1343"/>
      <c r="KZ47" s="992"/>
      <c r="LA47" s="992"/>
      <c r="LB47" s="992"/>
      <c r="LC47" s="992"/>
      <c r="LD47" s="992"/>
      <c r="LE47" s="992"/>
      <c r="LF47" s="992"/>
      <c r="LG47" s="992"/>
      <c r="LH47" s="992"/>
      <c r="LI47" s="992"/>
      <c r="LJ47" s="992"/>
      <c r="LK47" s="992"/>
      <c r="LL47" s="992"/>
      <c r="LM47" s="992"/>
      <c r="LN47" s="992"/>
      <c r="LO47" s="992"/>
      <c r="LP47" s="992"/>
      <c r="LQ47" s="992"/>
      <c r="LR47" s="992"/>
      <c r="LS47" s="992"/>
      <c r="LT47" s="992"/>
      <c r="LU47" s="992"/>
      <c r="LV47" s="992"/>
      <c r="LW47" s="992"/>
      <c r="LX47" s="992"/>
      <c r="LY47" s="992"/>
      <c r="LZ47" s="992"/>
      <c r="MA47" s="1343"/>
      <c r="MB47" s="1304">
        <v>21110008.829999998</v>
      </c>
      <c r="MC47" s="1343"/>
      <c r="MD47" s="992"/>
      <c r="ME47" s="992"/>
      <c r="MF47" s="992"/>
      <c r="MG47" s="992"/>
      <c r="MH47" s="992"/>
      <c r="MI47" s="992"/>
      <c r="MJ47" s="992"/>
      <c r="MK47" s="992"/>
      <c r="ML47" s="992"/>
      <c r="MM47" s="992"/>
      <c r="MN47" s="992"/>
      <c r="MO47" s="992"/>
      <c r="MP47" s="992"/>
      <c r="MQ47" s="992"/>
      <c r="MR47" s="992"/>
      <c r="MS47" s="992"/>
      <c r="MT47" s="992"/>
      <c r="MU47" s="992"/>
      <c r="MV47" s="992"/>
      <c r="MW47" s="992"/>
      <c r="MX47" s="992"/>
      <c r="MY47" s="992"/>
      <c r="MZ47" s="992"/>
      <c r="NA47" s="992"/>
      <c r="NB47" s="996"/>
      <c r="NC47" s="996"/>
      <c r="ND47" s="996"/>
      <c r="NE47" s="996"/>
      <c r="NF47" s="996"/>
      <c r="NG47" s="996"/>
      <c r="NH47" s="996"/>
      <c r="NI47" s="996"/>
      <c r="NJ47" s="996"/>
      <c r="NK47" s="1345">
        <v>0</v>
      </c>
      <c r="NL47" s="1343"/>
      <c r="NM47" s="1304">
        <v>655131.91</v>
      </c>
      <c r="NN47" s="1343"/>
      <c r="NO47" s="1343"/>
      <c r="NP47" s="1304">
        <v>3819646.76</v>
      </c>
      <c r="NQ47" s="1343"/>
      <c r="NR47" s="996"/>
      <c r="NS47" s="996"/>
      <c r="NT47" s="996"/>
      <c r="NU47" s="996"/>
      <c r="NV47" s="996"/>
      <c r="NW47" s="996"/>
      <c r="NX47" s="1188"/>
      <c r="NY47" s="1188"/>
      <c r="NZ47" s="1188"/>
      <c r="OA47" s="1188"/>
      <c r="OB47" s="1188"/>
      <c r="OC47" s="1188"/>
      <c r="OD47" s="1188"/>
      <c r="OE47" s="1188"/>
      <c r="OF47" s="1188"/>
      <c r="OG47" s="1188"/>
      <c r="OH47" s="1188"/>
      <c r="OI47" s="1188"/>
      <c r="OJ47" s="1188"/>
      <c r="OK47" s="1188"/>
      <c r="OL47" s="1188"/>
      <c r="OM47" s="1188"/>
      <c r="ON47" s="1188"/>
      <c r="OO47" s="1346"/>
      <c r="OP47" s="1333"/>
      <c r="OQ47" s="1333"/>
      <c r="OR47" s="992"/>
      <c r="OS47" s="992"/>
      <c r="OT47" s="992"/>
      <c r="OU47" s="992"/>
      <c r="OV47" s="992"/>
      <c r="OW47" s="1304">
        <v>133033680.25</v>
      </c>
      <c r="OX47" s="1343"/>
      <c r="OY47" s="1343"/>
      <c r="OZ47" s="992"/>
      <c r="PA47" s="992"/>
      <c r="PB47" s="992"/>
      <c r="PC47" s="992"/>
      <c r="PD47" s="992"/>
      <c r="PE47" s="992"/>
      <c r="PF47" s="992"/>
      <c r="PG47" s="992"/>
      <c r="PH47" s="992"/>
      <c r="PI47" s="992"/>
      <c r="PJ47" s="992"/>
      <c r="PK47" s="992"/>
      <c r="PL47" s="992"/>
      <c r="PM47" s="992"/>
      <c r="PN47" s="992"/>
      <c r="PO47" s="992"/>
      <c r="PP47" s="992"/>
      <c r="PQ47" s="992"/>
      <c r="PR47" s="992"/>
      <c r="PS47" s="992"/>
      <c r="PT47" s="992"/>
      <c r="PU47" s="992"/>
      <c r="PV47" s="992"/>
      <c r="PW47" s="992"/>
      <c r="PX47" s="992"/>
      <c r="PY47" s="992"/>
      <c r="PZ47" s="992"/>
      <c r="QA47" s="992"/>
      <c r="QB47" s="992"/>
      <c r="QC47" s="992"/>
      <c r="QD47" s="1304">
        <v>1248022.27</v>
      </c>
      <c r="QE47" s="1343"/>
      <c r="QF47" s="1343"/>
      <c r="QG47" s="1343"/>
      <c r="QH47" s="1007"/>
      <c r="QI47" s="1007"/>
      <c r="QJ47" s="1007"/>
      <c r="QK47" s="1007"/>
      <c r="QL47" s="1007"/>
      <c r="QM47" s="1007"/>
      <c r="QN47" s="1007"/>
      <c r="QO47" s="1007"/>
      <c r="QP47" s="1007"/>
      <c r="QQ47" s="1007"/>
      <c r="QR47" s="1007"/>
      <c r="QS47" s="1007"/>
      <c r="QT47" s="1007"/>
      <c r="QU47" s="1007"/>
      <c r="QV47" s="1007"/>
      <c r="QW47" s="1007"/>
      <c r="QX47" s="1007"/>
      <c r="QY47" s="1007"/>
      <c r="QZ47" s="1333"/>
      <c r="RA47" s="1333"/>
      <c r="RB47" s="1333"/>
      <c r="RC47" s="1333"/>
      <c r="RD47" s="1304">
        <v>1639838.96</v>
      </c>
      <c r="RE47" s="1333"/>
      <c r="RF47" s="1333"/>
      <c r="RG47" s="1333"/>
      <c r="RH47" s="1333"/>
      <c r="RI47" s="1333"/>
      <c r="RJ47" s="1334"/>
      <c r="RK47" s="1333"/>
      <c r="RL47" s="1333"/>
      <c r="RM47" s="1333"/>
      <c r="RN47" s="1333"/>
      <c r="RO47" s="1333"/>
      <c r="RP47" s="1333"/>
      <c r="RQ47" s="1333"/>
      <c r="RR47" s="1333"/>
      <c r="RS47" s="1333"/>
      <c r="RT47" s="1333"/>
      <c r="RU47" s="1333"/>
      <c r="RV47" s="1333"/>
      <c r="RW47" s="1333"/>
      <c r="RX47" s="1333"/>
      <c r="RY47" s="1333"/>
      <c r="RZ47" s="1333"/>
      <c r="SA47" s="1333"/>
      <c r="SB47" s="1333"/>
      <c r="SC47" s="1333"/>
      <c r="SD47" s="1007"/>
      <c r="SE47" s="1007"/>
      <c r="SF47" s="1007"/>
      <c r="SG47" s="1007"/>
      <c r="SH47" s="1007"/>
      <c r="SI47" s="1007"/>
      <c r="SJ47" s="1007"/>
      <c r="SK47" s="1007"/>
      <c r="SL47" s="1007"/>
      <c r="SM47" s="1007"/>
      <c r="SN47" s="1007"/>
      <c r="SO47" s="1333"/>
      <c r="SP47" s="1304">
        <v>327326035.69999999</v>
      </c>
      <c r="SQ47" s="1333"/>
      <c r="SR47" s="1007"/>
      <c r="SS47" s="1007"/>
      <c r="ST47" s="1007"/>
      <c r="SU47" s="1007"/>
      <c r="SV47" s="1007"/>
      <c r="SW47" s="1007"/>
      <c r="SX47" s="1007"/>
      <c r="SY47" s="1007"/>
      <c r="SZ47" s="1007"/>
      <c r="TA47" s="1007"/>
      <c r="TB47" s="1007"/>
      <c r="TC47" s="1007"/>
      <c r="TD47" s="1007"/>
      <c r="TE47" s="1007"/>
      <c r="TF47" s="1304">
        <v>30421113.129999999</v>
      </c>
      <c r="TG47" s="1343"/>
      <c r="TH47" s="1345">
        <v>0</v>
      </c>
      <c r="TI47" s="1343"/>
      <c r="TJ47" s="1304">
        <v>635543250.71000004</v>
      </c>
      <c r="TK47" s="1343"/>
      <c r="TL47" s="1007"/>
      <c r="TM47" s="1007"/>
      <c r="TN47" s="1007"/>
      <c r="TO47" s="1007"/>
      <c r="TP47" s="1007"/>
      <c r="TQ47" s="1007"/>
      <c r="TR47" s="1007"/>
      <c r="TS47" s="1007"/>
      <c r="TT47" s="1007"/>
      <c r="TU47" s="1007"/>
      <c r="TV47" s="1007"/>
      <c r="TW47" s="1007"/>
      <c r="TX47" s="1007"/>
      <c r="TY47" s="1007"/>
      <c r="TZ47" s="1007"/>
      <c r="UA47" s="1007"/>
      <c r="UB47" s="1007"/>
      <c r="UC47" s="1007"/>
      <c r="UD47" s="1007"/>
      <c r="UE47" s="1007"/>
      <c r="UF47" s="1007"/>
      <c r="UG47" s="1007"/>
      <c r="UH47" s="1007"/>
      <c r="UI47" s="1007"/>
      <c r="UJ47" s="1007"/>
      <c r="UK47" s="1007"/>
      <c r="UL47" s="1007"/>
      <c r="UM47" s="1007"/>
      <c r="UN47" s="1007"/>
      <c r="UO47" s="1007"/>
      <c r="UP47" s="1007"/>
      <c r="UQ47" s="1007"/>
      <c r="UR47" s="1007"/>
      <c r="US47" s="1007"/>
      <c r="UT47" s="1007"/>
      <c r="UU47" s="1007"/>
      <c r="UV47" s="1007"/>
      <c r="UW47" s="1007"/>
      <c r="UX47" s="1007"/>
      <c r="UY47" s="1007"/>
      <c r="UZ47" s="1007"/>
      <c r="VA47" s="1007"/>
      <c r="VB47" s="1185"/>
      <c r="VC47" s="1185"/>
      <c r="VD47" s="1185"/>
      <c r="VE47" s="1185"/>
      <c r="VF47" s="1185"/>
      <c r="VG47" s="1185"/>
      <c r="VH47" s="1185"/>
      <c r="VI47" s="1185"/>
      <c r="VJ47" s="993"/>
      <c r="VK47" s="694"/>
      <c r="VL47" s="694"/>
      <c r="VM47" s="993"/>
      <c r="VN47" s="694"/>
      <c r="VO47" s="993"/>
      <c r="VP47" s="1012"/>
      <c r="VQ47" s="1012"/>
      <c r="VR47" s="1012"/>
      <c r="VS47" s="1188"/>
      <c r="VT47" s="1188"/>
      <c r="VU47" s="1188"/>
      <c r="VV47" s="1185"/>
      <c r="VW47" s="1185"/>
      <c r="VX47" s="1185"/>
      <c r="VY47" s="1185"/>
      <c r="VZ47" s="1185"/>
      <c r="WA47" s="1185"/>
      <c r="WB47" s="1185"/>
      <c r="WC47" s="1185"/>
      <c r="WD47" s="1185"/>
      <c r="WE47" s="1185"/>
      <c r="WF47" s="1185"/>
      <c r="WG47" s="1185"/>
      <c r="WH47" s="1185"/>
      <c r="WI47" s="1185"/>
      <c r="WJ47" s="1304">
        <v>324670401.95999998</v>
      </c>
      <c r="WK47" s="1333"/>
      <c r="WL47" s="1185"/>
      <c r="WM47" s="1185"/>
      <c r="WN47" s="1185"/>
      <c r="WO47" s="1185"/>
      <c r="WP47" s="1347"/>
      <c r="WQ47" s="1333"/>
      <c r="WR47" s="1185"/>
      <c r="WS47" s="1185"/>
      <c r="WT47" s="1333"/>
      <c r="WU47" s="1333"/>
      <c r="WV47" s="1333"/>
      <c r="WW47" s="1333"/>
      <c r="WX47" s="1304">
        <v>877099.58</v>
      </c>
      <c r="WY47" s="1333"/>
      <c r="WZ47" s="1185"/>
      <c r="XA47" s="1185"/>
      <c r="XB47" s="1185"/>
      <c r="XC47" s="1185"/>
      <c r="XD47" s="1304">
        <v>36502634.390000001</v>
      </c>
      <c r="XE47" s="1333"/>
      <c r="XF47" s="1185"/>
      <c r="XG47" s="1185"/>
      <c r="XH47" s="1185"/>
      <c r="XI47" s="1185"/>
      <c r="XJ47" s="1185"/>
      <c r="XK47" s="1304">
        <v>407056689.56999999</v>
      </c>
      <c r="XL47" s="1185"/>
      <c r="XM47" s="1185"/>
      <c r="XN47" s="1185"/>
      <c r="XO47" s="1185"/>
      <c r="XP47" s="1185"/>
      <c r="XQ47" s="1185"/>
      <c r="XR47" s="1185"/>
      <c r="XS47" s="1185"/>
      <c r="XT47" s="1185"/>
      <c r="XU47" s="1185"/>
      <c r="XV47" s="1185"/>
      <c r="XW47" s="1185"/>
      <c r="XX47" s="996"/>
      <c r="XY47" s="996"/>
      <c r="XZ47" s="996"/>
      <c r="YA47" s="996"/>
      <c r="YB47" s="996"/>
      <c r="YC47" s="996"/>
      <c r="YD47" s="996"/>
      <c r="YE47" s="996"/>
      <c r="YF47" s="996"/>
      <c r="YG47" s="996"/>
      <c r="YH47" s="996"/>
      <c r="YI47" s="996"/>
      <c r="YJ47" s="996"/>
      <c r="YK47" s="996"/>
      <c r="YL47" s="996"/>
      <c r="YM47" s="996"/>
      <c r="YN47" s="996"/>
      <c r="YO47" s="996"/>
      <c r="YP47" s="996"/>
      <c r="YQ47" s="996"/>
      <c r="YR47" s="996"/>
      <c r="YS47" s="996"/>
      <c r="YT47" s="1004"/>
      <c r="YU47" s="1004"/>
      <c r="YV47" s="1004"/>
      <c r="YW47" s="1004"/>
      <c r="YX47" s="1004"/>
      <c r="YY47" s="1004"/>
      <c r="YZ47" s="1004"/>
      <c r="ZA47" s="1004"/>
      <c r="ZB47" s="1004"/>
      <c r="ZC47" s="1004"/>
      <c r="ZD47" s="1004"/>
      <c r="ZE47" s="1004"/>
      <c r="ZF47" s="1004"/>
      <c r="ZG47" s="1004"/>
      <c r="ZH47" s="1004"/>
      <c r="ZI47" s="1004"/>
      <c r="ZJ47" s="1004"/>
      <c r="ZK47" s="1004"/>
      <c r="ZL47" s="1004"/>
      <c r="ZM47" s="1004"/>
      <c r="ZN47" s="1004"/>
      <c r="ZO47" s="1004"/>
      <c r="ZP47" s="1004"/>
      <c r="ZQ47" s="1004"/>
      <c r="ZR47" s="1004"/>
      <c r="ZS47" s="1004"/>
      <c r="ZT47" s="1004"/>
      <c r="ZU47" s="1004"/>
      <c r="ZV47" s="1004"/>
      <c r="ZW47" s="1004"/>
      <c r="ZX47" s="1004"/>
      <c r="ZY47" s="1004"/>
      <c r="ZZ47" s="1004"/>
      <c r="AAA47" s="1004"/>
      <c r="AAB47" s="1004"/>
      <c r="AAC47" s="1004"/>
      <c r="AAD47" s="993"/>
      <c r="AAE47" s="993"/>
      <c r="AAF47" s="1348">
        <f>AAF46-AAF39</f>
        <v>0</v>
      </c>
      <c r="AAG47" s="1348">
        <f>AAG46-AAG39</f>
        <v>0</v>
      </c>
      <c r="AAH47" s="994"/>
      <c r="AAI47" s="994"/>
      <c r="AAJ47" s="694"/>
      <c r="AAK47" s="694"/>
      <c r="AAL47" s="694"/>
      <c r="AAM47" s="694"/>
      <c r="AAN47" s="1348">
        <f>AAN46-AAN39</f>
        <v>0</v>
      </c>
      <c r="AAO47" s="1348">
        <f>AAO46-AAO39</f>
        <v>0</v>
      </c>
      <c r="AAP47" s="994"/>
      <c r="AAQ47" s="994"/>
      <c r="AAR47" s="694"/>
      <c r="AAS47" s="694"/>
      <c r="AAT47" s="694"/>
      <c r="AAU47" s="694"/>
      <c r="AAV47" s="694"/>
      <c r="AAW47" s="694"/>
    </row>
    <row r="48" spans="1:725" ht="16.5" x14ac:dyDescent="0.25">
      <c r="A48" s="1185"/>
      <c r="B48" s="1311"/>
      <c r="C48" s="694"/>
      <c r="D48" s="993"/>
      <c r="E48" s="992"/>
      <c r="F48" s="992"/>
      <c r="G48" s="992"/>
      <c r="H48" s="992"/>
      <c r="I48" s="1185"/>
      <c r="J48" s="1185"/>
      <c r="K48" s="1185"/>
      <c r="L48" s="1185"/>
      <c r="M48" s="1185"/>
      <c r="N48" s="1185"/>
      <c r="O48" s="1185"/>
      <c r="P48" s="1185"/>
      <c r="Q48" s="694"/>
      <c r="R48" s="694"/>
      <c r="S48" s="694"/>
      <c r="T48" s="694"/>
      <c r="U48" s="694"/>
      <c r="V48" s="1006"/>
      <c r="W48" s="1006"/>
      <c r="X48" s="1006"/>
      <c r="Y48" s="1006"/>
      <c r="Z48" s="694"/>
      <c r="AA48" s="694"/>
      <c r="AB48" s="694"/>
      <c r="AC48" s="694"/>
      <c r="AD48" s="1006"/>
      <c r="AE48" s="1006"/>
      <c r="AF48" s="1006"/>
      <c r="AG48" s="694"/>
      <c r="AH48" s="1006"/>
      <c r="AI48" s="1006"/>
      <c r="AJ48" s="1006"/>
      <c r="AK48" s="1006"/>
      <c r="AL48" s="1006"/>
      <c r="AM48" s="1006"/>
      <c r="AN48" s="993"/>
      <c r="AO48" s="1013"/>
      <c r="AP48" s="1013"/>
      <c r="AQ48" s="1007"/>
      <c r="AR48" s="1007"/>
      <c r="AS48" s="1013"/>
      <c r="AT48" s="1320">
        <f>AT46-AT38</f>
        <v>0</v>
      </c>
      <c r="AU48" s="1320">
        <f>AU46-AU39</f>
        <v>0</v>
      </c>
      <c r="AV48" s="1013"/>
      <c r="AW48" s="994"/>
      <c r="AX48" s="1013"/>
      <c r="AY48" s="994"/>
      <c r="AZ48" s="1013"/>
      <c r="BA48" s="996"/>
      <c r="BB48" s="1013"/>
      <c r="BC48" s="996"/>
      <c r="BD48" s="1013"/>
      <c r="BE48" s="996"/>
      <c r="BF48" s="1013"/>
      <c r="BG48" s="996"/>
      <c r="BH48" s="1007"/>
      <c r="BI48" s="1007"/>
      <c r="BJ48" s="1007"/>
      <c r="BK48" s="1320">
        <f>BK46-BK39</f>
        <v>0</v>
      </c>
      <c r="BL48" s="1007"/>
      <c r="BM48" s="1007"/>
      <c r="BN48" s="1007"/>
      <c r="BO48" s="1007"/>
      <c r="BP48" s="1008"/>
      <c r="BQ48" s="1008"/>
      <c r="BR48" s="1008"/>
      <c r="BS48" s="1008"/>
      <c r="BT48" s="992"/>
      <c r="BU48" s="992"/>
      <c r="BV48" s="1185"/>
      <c r="BW48" s="1185"/>
      <c r="BX48" s="1185"/>
      <c r="BY48" s="1185"/>
      <c r="BZ48" s="1185"/>
      <c r="CA48" s="1185"/>
      <c r="CB48" s="694"/>
      <c r="CC48" s="694"/>
      <c r="CD48" s="694"/>
      <c r="CE48" s="1320"/>
      <c r="CF48" s="1320">
        <f t="shared" ref="CF48:CG48" si="580">CF46-CF38</f>
        <v>0</v>
      </c>
      <c r="CG48" s="1320">
        <f t="shared" si="580"/>
        <v>0</v>
      </c>
      <c r="CH48" s="1185"/>
      <c r="CI48" s="1320">
        <f>CI46-CI39</f>
        <v>0</v>
      </c>
      <c r="CJ48" s="1185"/>
      <c r="CK48" s="1185"/>
      <c r="CL48" s="1185"/>
      <c r="CM48" s="1185"/>
      <c r="CN48" s="1185"/>
      <c r="CO48" s="1185"/>
      <c r="CP48" s="1007"/>
      <c r="CQ48" s="1007"/>
      <c r="CR48" s="1007"/>
      <c r="CS48" s="1007"/>
      <c r="CT48" s="1320">
        <f>CT46-CT38</f>
        <v>0</v>
      </c>
      <c r="CU48" s="1320">
        <f>CU46-CU38</f>
        <v>0</v>
      </c>
      <c r="CV48" s="1007"/>
      <c r="CW48" s="1007"/>
      <c r="CX48" s="1007"/>
      <c r="CY48" s="1007"/>
      <c r="CZ48" s="1007"/>
      <c r="DA48" s="1007"/>
      <c r="DB48" s="1007"/>
      <c r="DC48" s="1007"/>
      <c r="DD48" s="1320">
        <f t="shared" ref="DD48:DE48" si="581">DD46-DD39</f>
        <v>0</v>
      </c>
      <c r="DE48" s="1320">
        <f t="shared" si="581"/>
        <v>0</v>
      </c>
      <c r="DF48" s="1320">
        <f>DF46-DF39</f>
        <v>-1.6763806343078613E-8</v>
      </c>
      <c r="DG48" s="1320">
        <f>DG46-DG39</f>
        <v>0</v>
      </c>
      <c r="DH48" s="1320">
        <f>DH46-DH38</f>
        <v>-8.3819031715393066E-9</v>
      </c>
      <c r="DI48" s="1320">
        <f>DI46-DI38</f>
        <v>0</v>
      </c>
      <c r="DJ48" s="1320"/>
      <c r="DK48" s="1320"/>
      <c r="DL48" s="1320"/>
      <c r="DM48" s="1320"/>
      <c r="DN48" s="1320"/>
      <c r="DO48" s="1320"/>
      <c r="DP48" s="1320"/>
      <c r="DQ48" s="1320"/>
      <c r="DR48" s="1320"/>
      <c r="DS48" s="1320"/>
      <c r="DT48" s="1320"/>
      <c r="DU48" s="1320"/>
      <c r="DV48" s="1320"/>
      <c r="DW48" s="1320"/>
      <c r="DX48" s="1320"/>
      <c r="DY48" s="1320">
        <f>DY46-DY38</f>
        <v>0</v>
      </c>
      <c r="DZ48" s="1320">
        <f>DZ46-DZ38</f>
        <v>0</v>
      </c>
      <c r="EA48" s="1320">
        <f>EA46-EA38</f>
        <v>0</v>
      </c>
      <c r="EB48" s="1007"/>
      <c r="EC48" s="1007"/>
      <c r="ED48" s="1007"/>
      <c r="EE48" s="1007"/>
      <c r="EF48" s="1320">
        <f>EF46-EF38</f>
        <v>0</v>
      </c>
      <c r="EG48" s="1320">
        <f>EG46-EG38</f>
        <v>0</v>
      </c>
      <c r="EH48" s="1007"/>
      <c r="EI48" s="1007"/>
      <c r="EJ48" s="1007"/>
      <c r="EK48" s="1007"/>
      <c r="EL48" s="1007"/>
      <c r="EM48" s="1007"/>
      <c r="EN48" s="1320"/>
      <c r="EO48" s="1320"/>
      <c r="EP48" s="1320"/>
      <c r="EQ48" s="1320"/>
      <c r="ER48" s="1320"/>
      <c r="ES48" s="1320">
        <f>ES46-ES38</f>
        <v>0</v>
      </c>
      <c r="ET48" s="1320">
        <f>ET46-ET38</f>
        <v>0</v>
      </c>
      <c r="EU48" s="1320">
        <f>EU46-EU38</f>
        <v>0</v>
      </c>
      <c r="EV48" s="1320"/>
      <c r="EW48" s="1320"/>
      <c r="EX48" s="1320"/>
      <c r="EY48" s="1320"/>
      <c r="EZ48" s="1320">
        <f>EZ46-EZ38</f>
        <v>0</v>
      </c>
      <c r="FA48" s="1320">
        <f>FA46-FA38</f>
        <v>0</v>
      </c>
      <c r="FB48" s="1320"/>
      <c r="FC48" s="1320"/>
      <c r="FD48" s="1320"/>
      <c r="FE48" s="1320"/>
      <c r="FF48" s="1320">
        <f>FF46-FF39</f>
        <v>0</v>
      </c>
      <c r="FG48" s="1320">
        <f>FG46-FG39</f>
        <v>0</v>
      </c>
      <c r="FH48" s="1320"/>
      <c r="FI48" s="1320"/>
      <c r="FJ48" s="1320"/>
      <c r="FK48" s="1320"/>
      <c r="FL48" s="1320"/>
      <c r="FM48" s="1320"/>
      <c r="FN48" s="1320"/>
      <c r="FO48" s="1320"/>
      <c r="FP48" s="1320"/>
      <c r="FQ48" s="1320"/>
      <c r="FR48" s="1320"/>
      <c r="FS48" s="1320"/>
      <c r="FT48" s="1320"/>
      <c r="FU48" s="1320"/>
      <c r="FV48" s="1320"/>
      <c r="FW48" s="1320"/>
      <c r="FX48" s="1320"/>
      <c r="FY48" s="1320"/>
      <c r="FZ48" s="1320"/>
      <c r="GA48" s="1320"/>
      <c r="GB48" s="1320"/>
      <c r="GC48" s="1320"/>
      <c r="GD48" s="1320">
        <f>GD46-GD38</f>
        <v>0</v>
      </c>
      <c r="GE48" s="1320">
        <f>GE46-GE38</f>
        <v>0</v>
      </c>
      <c r="GF48" s="1320"/>
      <c r="GG48" s="1320"/>
      <c r="GH48" s="1320"/>
      <c r="GI48" s="1320"/>
      <c r="GJ48" s="1320">
        <f>GJ46-GJ39</f>
        <v>0</v>
      </c>
      <c r="GK48" s="1320">
        <f>GK46-GK39</f>
        <v>0</v>
      </c>
      <c r="GL48" s="1320"/>
      <c r="GM48" s="1320"/>
      <c r="GN48" s="1320"/>
      <c r="GO48" s="1320"/>
      <c r="GP48" s="1320"/>
      <c r="GQ48" s="1320"/>
      <c r="GR48" s="1320"/>
      <c r="GS48" s="1320"/>
      <c r="GT48" s="1320"/>
      <c r="GU48" s="1320"/>
      <c r="GV48" s="1320"/>
      <c r="GW48" s="1320"/>
      <c r="GX48" s="1320"/>
      <c r="GY48" s="1007"/>
      <c r="GZ48" s="1320"/>
      <c r="HA48" s="1320">
        <f>HA46-HA38</f>
        <v>0</v>
      </c>
      <c r="HB48" s="1320">
        <f>HB46-HB38</f>
        <v>0</v>
      </c>
      <c r="HC48" s="1320">
        <f>HC46-HC39</f>
        <v>0</v>
      </c>
      <c r="HD48" s="1320"/>
      <c r="HE48" s="1007"/>
      <c r="HF48" s="1320"/>
      <c r="HG48" s="1007"/>
      <c r="HH48" s="1320"/>
      <c r="HI48" s="1320"/>
      <c r="HJ48" s="1320"/>
      <c r="HK48" s="1320"/>
      <c r="HL48" s="1320"/>
      <c r="HM48" s="1320"/>
      <c r="HN48" s="1320"/>
      <c r="HO48" s="1320"/>
      <c r="HP48" s="1320">
        <f>HP46-HP38</f>
        <v>3.3527612686157227E-8</v>
      </c>
      <c r="HQ48" s="1320">
        <f>HQ46-HQ38</f>
        <v>0</v>
      </c>
      <c r="HR48" s="1320"/>
      <c r="HS48" s="1320"/>
      <c r="HT48" s="1320"/>
      <c r="HU48" s="1320"/>
      <c r="HV48" s="1320">
        <f>HV46-HV39</f>
        <v>-8.3819031715393066E-9</v>
      </c>
      <c r="HW48" s="1320">
        <f>HW46-HW39</f>
        <v>0</v>
      </c>
      <c r="HX48" s="1320"/>
      <c r="HY48" s="1320"/>
      <c r="HZ48" s="1320"/>
      <c r="IA48" s="1320"/>
      <c r="IB48" s="1320"/>
      <c r="IC48" s="1320"/>
      <c r="ID48" s="1320"/>
      <c r="IE48" s="1320"/>
      <c r="IF48" s="1320"/>
      <c r="IG48" s="1320"/>
      <c r="IH48" s="1320"/>
      <c r="II48" s="1320"/>
      <c r="IJ48" s="1320"/>
      <c r="IK48" s="1320"/>
      <c r="IL48" s="1320"/>
      <c r="IM48" s="1320"/>
      <c r="IN48" s="1320"/>
      <c r="IO48" s="1320"/>
      <c r="IP48" s="1320"/>
      <c r="IQ48" s="1320"/>
      <c r="IR48" s="1320"/>
      <c r="IS48" s="1320"/>
      <c r="IT48" s="1320">
        <f>IT46-IT38</f>
        <v>0</v>
      </c>
      <c r="IU48" s="1320">
        <f>IU46-IU38</f>
        <v>0</v>
      </c>
      <c r="IV48" s="1320"/>
      <c r="IW48" s="1320"/>
      <c r="IX48" s="1320"/>
      <c r="IY48" s="1320"/>
      <c r="IZ48" s="1320"/>
      <c r="JA48" s="1320"/>
      <c r="JB48" s="1320"/>
      <c r="JC48" s="1320"/>
      <c r="JD48" s="1320"/>
      <c r="JE48" s="1320"/>
      <c r="JF48" s="1320"/>
      <c r="JG48" s="1320"/>
      <c r="JH48" s="1320"/>
      <c r="JI48" s="1320"/>
      <c r="JJ48" s="1320">
        <f>JJ46-JJ38</f>
        <v>-3.637978807091713E-11</v>
      </c>
      <c r="JK48" s="1320">
        <f>JK46-JK38</f>
        <v>0</v>
      </c>
      <c r="JL48" s="1320"/>
      <c r="JM48" s="1320"/>
      <c r="JN48" s="1320"/>
      <c r="JO48" s="1320"/>
      <c r="JP48" s="1320">
        <f>JP46-JP38</f>
        <v>0</v>
      </c>
      <c r="JQ48" s="1320">
        <f>JQ46-JQ38</f>
        <v>0</v>
      </c>
      <c r="JR48" s="992"/>
      <c r="JS48" s="992"/>
      <c r="JT48" s="992"/>
      <c r="JU48" s="992"/>
      <c r="JV48" s="1320">
        <f>JV46-JV39</f>
        <v>0</v>
      </c>
      <c r="JW48" s="1320">
        <f>JW46-JW39</f>
        <v>0</v>
      </c>
      <c r="JX48" s="992"/>
      <c r="JY48" s="992"/>
      <c r="JZ48" s="992"/>
      <c r="KA48" s="992"/>
      <c r="KB48" s="992"/>
      <c r="KC48" s="992"/>
      <c r="KD48" s="992"/>
      <c r="KE48" s="992"/>
      <c r="KF48" s="992"/>
      <c r="KG48" s="992"/>
      <c r="KH48" s="992"/>
      <c r="KI48" s="992"/>
      <c r="KJ48" s="992"/>
      <c r="KK48" s="992"/>
      <c r="KL48" s="992"/>
      <c r="KM48" s="992"/>
      <c r="KN48" s="992"/>
      <c r="KO48" s="992"/>
      <c r="KP48" s="992"/>
      <c r="KQ48" s="992"/>
      <c r="KR48" s="992"/>
      <c r="KS48" s="992"/>
      <c r="KT48" s="992"/>
      <c r="KU48" s="992"/>
      <c r="KV48" s="1320">
        <f>KV46-KV38</f>
        <v>0</v>
      </c>
      <c r="KW48" s="1320">
        <f>KW46-KW38</f>
        <v>0</v>
      </c>
      <c r="KX48" s="1320">
        <f>KX46-KX38</f>
        <v>0</v>
      </c>
      <c r="KY48" s="1320">
        <f>KY46-KY38</f>
        <v>0</v>
      </c>
      <c r="KZ48" s="992"/>
      <c r="LA48" s="992"/>
      <c r="LB48" s="992"/>
      <c r="LC48" s="992"/>
      <c r="LD48" s="992"/>
      <c r="LE48" s="992"/>
      <c r="LF48" s="992"/>
      <c r="LG48" s="992"/>
      <c r="LH48" s="992"/>
      <c r="LI48" s="992"/>
      <c r="LJ48" s="992"/>
      <c r="LK48" s="992"/>
      <c r="LL48" s="992"/>
      <c r="LM48" s="992"/>
      <c r="LN48" s="992"/>
      <c r="LO48" s="992"/>
      <c r="LP48" s="992"/>
      <c r="LQ48" s="992"/>
      <c r="LR48" s="992"/>
      <c r="LS48" s="992"/>
      <c r="LT48" s="992"/>
      <c r="LU48" s="992"/>
      <c r="LV48" s="992"/>
      <c r="LW48" s="992"/>
      <c r="LX48" s="992"/>
      <c r="LY48" s="992"/>
      <c r="LZ48" s="992"/>
      <c r="MA48" s="1320">
        <f>MA46-MA38</f>
        <v>0</v>
      </c>
      <c r="MB48" s="1320">
        <f>MB46-MB39</f>
        <v>0</v>
      </c>
      <c r="MC48" s="1320">
        <f>MC46-MC39</f>
        <v>0</v>
      </c>
      <c r="MD48" s="992"/>
      <c r="ME48" s="992"/>
      <c r="MF48" s="992"/>
      <c r="MG48" s="992"/>
      <c r="MH48" s="992"/>
      <c r="MI48" s="992"/>
      <c r="MJ48" s="992"/>
      <c r="MK48" s="992"/>
      <c r="ML48" s="992"/>
      <c r="MM48" s="992"/>
      <c r="MN48" s="992"/>
      <c r="MO48" s="992"/>
      <c r="MP48" s="992"/>
      <c r="MQ48" s="992"/>
      <c r="MR48" s="992"/>
      <c r="MS48" s="992"/>
      <c r="MT48" s="992"/>
      <c r="MU48" s="992"/>
      <c r="MV48" s="992"/>
      <c r="MW48" s="992"/>
      <c r="MX48" s="992"/>
      <c r="MY48" s="992"/>
      <c r="MZ48" s="992"/>
      <c r="NA48" s="992"/>
      <c r="NB48" s="996"/>
      <c r="NC48" s="996"/>
      <c r="ND48" s="996"/>
      <c r="NE48" s="996"/>
      <c r="NF48" s="996"/>
      <c r="NG48" s="996"/>
      <c r="NH48" s="996"/>
      <c r="NI48" s="996"/>
      <c r="NJ48" s="996"/>
      <c r="NK48" s="1320">
        <f>NK46-NK38</f>
        <v>0</v>
      </c>
      <c r="NL48" s="1320">
        <f>NL46-NL38</f>
        <v>0</v>
      </c>
      <c r="NM48" s="1320">
        <f>NM46-NM38</f>
        <v>0</v>
      </c>
      <c r="NN48" s="1320">
        <f>NN46-NN38</f>
        <v>0</v>
      </c>
      <c r="NO48" s="996"/>
      <c r="NP48" s="1320">
        <f>NP46-NP39</f>
        <v>0</v>
      </c>
      <c r="NQ48" s="1320">
        <f>NQ46-NQ39</f>
        <v>0</v>
      </c>
      <c r="NR48" s="996"/>
      <c r="NS48" s="996"/>
      <c r="NT48" s="996"/>
      <c r="NU48" s="996"/>
      <c r="NV48" s="996"/>
      <c r="NW48" s="996"/>
      <c r="NX48" s="1188"/>
      <c r="NY48" s="1188"/>
      <c r="NZ48" s="1188"/>
      <c r="OA48" s="1188"/>
      <c r="OB48" s="1188"/>
      <c r="OC48" s="1188"/>
      <c r="OD48" s="1188"/>
      <c r="OE48" s="1188"/>
      <c r="OF48" s="1188"/>
      <c r="OG48" s="1188"/>
      <c r="OH48" s="1188"/>
      <c r="OI48" s="1188"/>
      <c r="OJ48" s="1188"/>
      <c r="OK48" s="1188"/>
      <c r="OL48" s="1188"/>
      <c r="OM48" s="1188"/>
      <c r="ON48" s="1188"/>
      <c r="OO48" s="1320">
        <f>OO46-OO38</f>
        <v>0</v>
      </c>
      <c r="OP48" s="1320">
        <f>OP46-OP38</f>
        <v>0</v>
      </c>
      <c r="OQ48" s="1320">
        <f>OQ46-OQ38</f>
        <v>0</v>
      </c>
      <c r="OR48" s="992"/>
      <c r="OS48" s="992"/>
      <c r="OT48" s="992"/>
      <c r="OU48" s="992"/>
      <c r="OV48" s="992"/>
      <c r="OW48" s="1320">
        <f>OW46-OW39</f>
        <v>0</v>
      </c>
      <c r="OX48" s="1320">
        <f>OX46-OX39</f>
        <v>0</v>
      </c>
      <c r="OY48" s="1320">
        <f>OY46-OY39</f>
        <v>0</v>
      </c>
      <c r="OZ48" s="992"/>
      <c r="PA48" s="992"/>
      <c r="PB48" s="992"/>
      <c r="PC48" s="992"/>
      <c r="PD48" s="992"/>
      <c r="PE48" s="992"/>
      <c r="PF48" s="992"/>
      <c r="PG48" s="992"/>
      <c r="PH48" s="992"/>
      <c r="PI48" s="992"/>
      <c r="PJ48" s="992"/>
      <c r="PK48" s="992"/>
      <c r="PL48" s="992"/>
      <c r="PM48" s="992"/>
      <c r="PN48" s="992"/>
      <c r="PO48" s="992"/>
      <c r="PP48" s="992"/>
      <c r="PQ48" s="992"/>
      <c r="PR48" s="992"/>
      <c r="PS48" s="992"/>
      <c r="PT48" s="992"/>
      <c r="PU48" s="992"/>
      <c r="PV48" s="992"/>
      <c r="PW48" s="992"/>
      <c r="PX48" s="992"/>
      <c r="PY48" s="992"/>
      <c r="PZ48" s="992"/>
      <c r="QA48" s="992"/>
      <c r="QB48" s="992"/>
      <c r="QC48" s="992"/>
      <c r="QD48" s="1320">
        <f>QD46-QD39</f>
        <v>1.0186340659856796E-10</v>
      </c>
      <c r="QE48" s="1320">
        <f>QE46-QE39</f>
        <v>0</v>
      </c>
      <c r="QF48" s="1320"/>
      <c r="QG48" s="1320"/>
      <c r="QH48" s="1007"/>
      <c r="QI48" s="1007"/>
      <c r="QJ48" s="1007"/>
      <c r="QK48" s="1007"/>
      <c r="QL48" s="1007"/>
      <c r="QM48" s="1007"/>
      <c r="QN48" s="1007"/>
      <c r="QO48" s="1007"/>
      <c r="QP48" s="1007"/>
      <c r="QQ48" s="1007"/>
      <c r="QR48" s="1007"/>
      <c r="QS48" s="1007"/>
      <c r="QT48" s="1007"/>
      <c r="QU48" s="1007"/>
      <c r="QV48" s="1007"/>
      <c r="QW48" s="1007"/>
      <c r="QX48" s="1007"/>
      <c r="QY48" s="1007"/>
      <c r="QZ48" s="1320"/>
      <c r="RA48" s="1320"/>
      <c r="RB48" s="1320"/>
      <c r="RC48" s="1320"/>
      <c r="RD48" s="1320">
        <f>RD46-RD38</f>
        <v>0</v>
      </c>
      <c r="RE48" s="1320">
        <f>RE46-RE38</f>
        <v>0</v>
      </c>
      <c r="RF48" s="1320"/>
      <c r="RG48" s="1320"/>
      <c r="RH48" s="1320"/>
      <c r="RI48" s="1320"/>
      <c r="RJ48" s="1320">
        <f>RJ46-RJ38</f>
        <v>0</v>
      </c>
      <c r="RK48" s="1320">
        <f>RK46-RK38</f>
        <v>0</v>
      </c>
      <c r="RL48" s="1320"/>
      <c r="RM48" s="1320"/>
      <c r="RN48" s="1320"/>
      <c r="RO48" s="1320"/>
      <c r="RP48" s="1320"/>
      <c r="RQ48" s="1320"/>
      <c r="RR48" s="1320"/>
      <c r="RS48" s="1320"/>
      <c r="RT48" s="1320"/>
      <c r="RU48" s="1320"/>
      <c r="RV48" s="1320"/>
      <c r="RW48" s="1320"/>
      <c r="RX48" s="1320"/>
      <c r="RY48" s="1320"/>
      <c r="RZ48" s="1320"/>
      <c r="SA48" s="1320"/>
      <c r="SB48" s="1320"/>
      <c r="SC48" s="1320"/>
      <c r="SD48" s="1007"/>
      <c r="SE48" s="1007"/>
      <c r="SF48" s="1007"/>
      <c r="SG48" s="1007"/>
      <c r="SH48" s="1007"/>
      <c r="SI48" s="1007"/>
      <c r="SJ48" s="1007"/>
      <c r="SK48" s="1007"/>
      <c r="SL48" s="1007"/>
      <c r="SM48" s="1007"/>
      <c r="SN48" s="1007"/>
      <c r="SO48" s="1320">
        <f>SO46-SO38</f>
        <v>0</v>
      </c>
      <c r="SP48" s="1320">
        <f>SP46-SP38</f>
        <v>-4644650.7400000244</v>
      </c>
      <c r="SQ48" s="1320">
        <f>SQ46-SQ38</f>
        <v>4644650.7400000095</v>
      </c>
      <c r="SR48" s="1007"/>
      <c r="SS48" s="1007"/>
      <c r="ST48" s="1007"/>
      <c r="SU48" s="1007"/>
      <c r="SV48" s="1007"/>
      <c r="SW48" s="1007"/>
      <c r="SX48" s="1007"/>
      <c r="SY48" s="1007"/>
      <c r="SZ48" s="1007"/>
      <c r="TA48" s="1007"/>
      <c r="TB48" s="1007"/>
      <c r="TC48" s="1007"/>
      <c r="TD48" s="1007"/>
      <c r="TE48" s="1007"/>
      <c r="TF48" s="1320">
        <f>TF46-TF39</f>
        <v>-1.862645149230957E-9</v>
      </c>
      <c r="TG48" s="1320">
        <f>TG46-TG39</f>
        <v>0</v>
      </c>
      <c r="TH48" s="1320">
        <f t="shared" ref="TH48:TI48" si="582">TH46-TH38</f>
        <v>0</v>
      </c>
      <c r="TI48" s="1320">
        <f t="shared" si="582"/>
        <v>0</v>
      </c>
      <c r="TJ48" s="1320">
        <f>TJ46-TJ39</f>
        <v>8.9406967163085938E-8</v>
      </c>
      <c r="TK48" s="1320">
        <f>TK46-TK39</f>
        <v>0</v>
      </c>
      <c r="TL48" s="1007"/>
      <c r="TM48" s="1007"/>
      <c r="TN48" s="1007"/>
      <c r="TO48" s="1007"/>
      <c r="TP48" s="1007"/>
      <c r="TQ48" s="1007"/>
      <c r="TR48" s="1007"/>
      <c r="TS48" s="1007"/>
      <c r="TT48" s="1007"/>
      <c r="TU48" s="1007"/>
      <c r="TV48" s="1007"/>
      <c r="TW48" s="1007"/>
      <c r="TX48" s="1007"/>
      <c r="TY48" s="1007"/>
      <c r="TZ48" s="1007"/>
      <c r="UA48" s="1007"/>
      <c r="UB48" s="1007"/>
      <c r="UC48" s="1007"/>
      <c r="UD48" s="1007"/>
      <c r="UE48" s="1007"/>
      <c r="UF48" s="1007"/>
      <c r="UG48" s="1007"/>
      <c r="UH48" s="1007"/>
      <c r="UI48" s="1007"/>
      <c r="UJ48" s="1007"/>
      <c r="UK48" s="1007"/>
      <c r="UL48" s="1007"/>
      <c r="UM48" s="1007"/>
      <c r="UN48" s="1007"/>
      <c r="UO48" s="1007"/>
      <c r="UP48" s="1007"/>
      <c r="UQ48" s="1007"/>
      <c r="UR48" s="1007"/>
      <c r="US48" s="1007"/>
      <c r="UT48" s="1007"/>
      <c r="UU48" s="1007"/>
      <c r="UV48" s="1007"/>
      <c r="UW48" s="1007"/>
      <c r="UX48" s="1007"/>
      <c r="UY48" s="1007"/>
      <c r="UZ48" s="1007"/>
      <c r="VA48" s="1007"/>
      <c r="VB48" s="1185"/>
      <c r="VC48" s="1185"/>
      <c r="VD48" s="1185"/>
      <c r="VE48" s="1185"/>
      <c r="VF48" s="1185"/>
      <c r="VG48" s="1185"/>
      <c r="VH48" s="1185"/>
      <c r="VI48" s="1185"/>
      <c r="VJ48" s="993"/>
      <c r="VK48" s="694"/>
      <c r="VL48" s="694"/>
      <c r="VM48" s="993"/>
      <c r="VN48" s="694"/>
      <c r="VO48" s="993"/>
      <c r="VP48" s="1188"/>
      <c r="VQ48" s="1188"/>
      <c r="VR48" s="1188"/>
      <c r="VS48" s="1188"/>
      <c r="VT48" s="1188"/>
      <c r="VU48" s="1188"/>
      <c r="VV48" s="1185"/>
      <c r="VW48" s="1185"/>
      <c r="VX48" s="1185"/>
      <c r="VY48" s="1185"/>
      <c r="VZ48" s="1185"/>
      <c r="WA48" s="1185"/>
      <c r="WB48" s="1185"/>
      <c r="WC48" s="1185"/>
      <c r="WD48" s="1185"/>
      <c r="WE48" s="1185"/>
      <c r="WF48" s="1185"/>
      <c r="WG48" s="1185"/>
      <c r="WH48" s="1185"/>
      <c r="WI48" s="1185"/>
      <c r="WJ48" s="1320">
        <f>WJ46-WJ38</f>
        <v>0</v>
      </c>
      <c r="WK48" s="1320">
        <f>WK46-WK38</f>
        <v>0</v>
      </c>
      <c r="WL48" s="1185"/>
      <c r="WM48" s="1185"/>
      <c r="WN48" s="1185"/>
      <c r="WO48" s="1185"/>
      <c r="WP48" s="1320">
        <f>WP46-WP39</f>
        <v>0</v>
      </c>
      <c r="WQ48" s="1320">
        <f>WQ46-WQ39</f>
        <v>0</v>
      </c>
      <c r="WR48" s="1185"/>
      <c r="WS48" s="1185"/>
      <c r="WT48" s="1320"/>
      <c r="WU48" s="1320"/>
      <c r="WV48" s="1320"/>
      <c r="WW48" s="1320"/>
      <c r="WX48" s="1320">
        <f>WX46-WX38</f>
        <v>0</v>
      </c>
      <c r="WY48" s="1320">
        <f>WY46-WY38</f>
        <v>0</v>
      </c>
      <c r="WZ48" s="1185"/>
      <c r="XA48" s="1185"/>
      <c r="XB48" s="1185"/>
      <c r="XC48" s="1185"/>
      <c r="XD48" s="1320">
        <f>XD46-XD38</f>
        <v>-5.1222741603851318E-9</v>
      </c>
      <c r="XE48" s="1320">
        <f>XE46-XE38</f>
        <v>0</v>
      </c>
      <c r="XF48" s="1185"/>
      <c r="XG48" s="1185"/>
      <c r="XH48" s="1185"/>
      <c r="XI48" s="1185"/>
      <c r="XJ48" s="1185"/>
      <c r="XK48" s="995">
        <f>XK47-XK38</f>
        <v>0</v>
      </c>
      <c r="XL48" s="1185"/>
      <c r="XM48" s="1185"/>
      <c r="XN48" s="1185"/>
      <c r="XO48" s="1320">
        <f>XO46-XO39</f>
        <v>0</v>
      </c>
      <c r="XP48" s="1185"/>
      <c r="XQ48" s="1185"/>
      <c r="XR48" s="1185"/>
      <c r="XS48" s="1185"/>
      <c r="XT48" s="1185"/>
      <c r="XU48" s="1185"/>
      <c r="XV48" s="1185"/>
      <c r="XW48" s="1185"/>
      <c r="XX48" s="996"/>
      <c r="XY48" s="996"/>
      <c r="XZ48" s="996"/>
      <c r="YA48" s="996"/>
      <c r="YB48" s="996"/>
      <c r="YC48" s="996"/>
      <c r="YD48" s="996"/>
      <c r="YE48" s="996"/>
      <c r="YF48" s="996"/>
      <c r="YG48" s="996"/>
      <c r="YH48" s="996"/>
      <c r="YI48" s="996"/>
      <c r="YJ48" s="996">
        <f>YJ46-YJ38</f>
        <v>0</v>
      </c>
      <c r="YK48" s="996">
        <f>YK46-YK38</f>
        <v>0</v>
      </c>
      <c r="YL48" s="996">
        <f>YL46-YL39</f>
        <v>0</v>
      </c>
      <c r="YM48" s="996">
        <f>YM46-YM38</f>
        <v>0</v>
      </c>
      <c r="YN48" s="996">
        <f t="shared" ref="YN48:YO48" si="583">YN46-YN39</f>
        <v>0</v>
      </c>
      <c r="YO48" s="996">
        <f t="shared" si="583"/>
        <v>0</v>
      </c>
      <c r="YP48" s="996">
        <f>YP46-YP39</f>
        <v>0</v>
      </c>
      <c r="YQ48" s="996">
        <f>YQ46-YQ38</f>
        <v>0</v>
      </c>
      <c r="YR48" s="996">
        <f>YR46-YR38</f>
        <v>0</v>
      </c>
      <c r="YS48" s="996">
        <f>YS46-YS39</f>
        <v>0</v>
      </c>
      <c r="YT48" s="992"/>
      <c r="YU48" s="992"/>
      <c r="YV48" s="992"/>
      <c r="YW48" s="992"/>
      <c r="YX48" s="992"/>
      <c r="YY48" s="992"/>
      <c r="YZ48" s="992"/>
      <c r="ZA48" s="992"/>
      <c r="ZB48" s="992"/>
      <c r="ZC48" s="992"/>
      <c r="ZD48" s="992"/>
      <c r="ZE48" s="992"/>
      <c r="ZF48" s="1004"/>
      <c r="ZG48" s="1004"/>
      <c r="ZH48" s="1004"/>
      <c r="ZI48" s="1004"/>
      <c r="ZJ48" s="1004"/>
      <c r="ZK48" s="1004"/>
      <c r="ZL48" s="1004"/>
      <c r="ZM48" s="1004"/>
      <c r="ZN48" s="1004"/>
      <c r="ZO48" s="1004"/>
      <c r="ZP48" s="1004"/>
      <c r="ZQ48" s="1004"/>
      <c r="ZR48" s="1004"/>
      <c r="ZS48" s="1004"/>
      <c r="ZT48" s="1004"/>
      <c r="ZU48" s="1004"/>
      <c r="ZV48" s="1004"/>
      <c r="ZW48" s="1004"/>
      <c r="ZX48" s="1004"/>
      <c r="ZY48" s="1004"/>
      <c r="ZZ48" s="1004"/>
      <c r="AAA48" s="1004"/>
      <c r="AAB48" s="1004"/>
      <c r="AAC48" s="1004"/>
      <c r="AAD48" s="993"/>
      <c r="AAE48" s="993"/>
      <c r="AAF48" s="694"/>
      <c r="AAG48" s="694"/>
      <c r="AAH48" s="994"/>
      <c r="AAI48" s="994"/>
      <c r="AAJ48" s="694"/>
      <c r="AAK48" s="694"/>
      <c r="AAL48" s="694"/>
      <c r="AAM48" s="694"/>
      <c r="AAN48" s="694"/>
      <c r="AAO48" s="694"/>
      <c r="AAP48" s="994"/>
      <c r="AAQ48" s="994"/>
      <c r="AAR48" s="694"/>
      <c r="AAS48" s="694"/>
      <c r="AAT48" s="694"/>
      <c r="AAU48" s="694"/>
      <c r="AAV48" s="694"/>
      <c r="AAW48" s="694"/>
    </row>
    <row r="49" spans="1:725" ht="16.5" x14ac:dyDescent="0.25">
      <c r="A49" s="1185"/>
      <c r="B49" s="1311"/>
      <c r="C49" s="694"/>
      <c r="D49" s="993"/>
      <c r="E49" s="694"/>
      <c r="F49" s="1185"/>
      <c r="G49" s="1185"/>
      <c r="H49" s="1185"/>
      <c r="I49" s="1185"/>
      <c r="J49" s="1185"/>
      <c r="K49" s="1185"/>
      <c r="L49" s="1185"/>
      <c r="M49" s="1185"/>
      <c r="N49" s="1185"/>
      <c r="O49" s="1185"/>
      <c r="P49" s="1185"/>
      <c r="Q49" s="694"/>
      <c r="R49" s="694"/>
      <c r="S49" s="694"/>
      <c r="T49" s="694"/>
      <c r="U49" s="694"/>
      <c r="V49" s="1006"/>
      <c r="W49" s="1006"/>
      <c r="X49" s="1006"/>
      <c r="Y49" s="1006"/>
      <c r="Z49" s="694"/>
      <c r="AA49" s="694"/>
      <c r="AB49" s="694"/>
      <c r="AC49" s="694"/>
      <c r="AD49" s="1006"/>
      <c r="AE49" s="1006"/>
      <c r="AF49" s="1006"/>
      <c r="AG49" s="694"/>
      <c r="AH49" s="1006"/>
      <c r="AI49" s="1006"/>
      <c r="AJ49" s="1006"/>
      <c r="AK49" s="1006"/>
      <c r="AL49" s="1006"/>
      <c r="AM49" s="1006"/>
      <c r="AN49" s="993"/>
      <c r="AO49" s="1013"/>
      <c r="AP49" s="1013"/>
      <c r="AQ49" s="1007"/>
      <c r="AR49" s="1007"/>
      <c r="AS49" s="1013"/>
      <c r="AT49" s="1013"/>
      <c r="AU49" s="1008"/>
      <c r="AV49" s="1013"/>
      <c r="AW49" s="994"/>
      <c r="AX49" s="1013"/>
      <c r="AY49" s="1014"/>
      <c r="AZ49" s="1013"/>
      <c r="BA49" s="996"/>
      <c r="BB49" s="1013"/>
      <c r="BC49" s="996"/>
      <c r="BD49" s="1013"/>
      <c r="BE49" s="996"/>
      <c r="BF49" s="1013"/>
      <c r="BG49" s="996"/>
      <c r="BH49" s="1007"/>
      <c r="BI49" s="1007"/>
      <c r="BJ49" s="1007"/>
      <c r="BK49" s="1007"/>
      <c r="BL49" s="1007"/>
      <c r="BM49" s="1007"/>
      <c r="BN49" s="1007"/>
      <c r="BO49" s="1007"/>
      <c r="BP49" s="1008"/>
      <c r="BQ49" s="1008"/>
      <c r="BR49" s="1008"/>
      <c r="BS49" s="1008"/>
      <c r="BT49" s="1185"/>
      <c r="BU49" s="1013"/>
      <c r="BV49" s="1185"/>
      <c r="BW49" s="1185"/>
      <c r="BX49" s="1185"/>
      <c r="BY49" s="1185"/>
      <c r="BZ49" s="1185"/>
      <c r="CA49" s="1185"/>
      <c r="CB49" s="1185"/>
      <c r="CC49" s="1185"/>
      <c r="CD49" s="1185"/>
      <c r="CE49" s="1185"/>
      <c r="CF49" s="1185"/>
      <c r="CG49" s="1185"/>
      <c r="CH49" s="1185"/>
      <c r="CI49" s="1014"/>
      <c r="CJ49" s="1185"/>
      <c r="CK49" s="1185"/>
      <c r="CL49" s="1185"/>
      <c r="CM49" s="1185"/>
      <c r="CN49" s="1185"/>
      <c r="CO49" s="1185"/>
      <c r="CP49" s="1185"/>
      <c r="CQ49" s="1185"/>
      <c r="CR49" s="1185"/>
      <c r="CS49" s="1185"/>
      <c r="CT49" s="1185"/>
      <c r="CU49" s="1185"/>
      <c r="CV49" s="1185"/>
      <c r="CW49" s="1185"/>
      <c r="CX49" s="1185"/>
      <c r="CY49" s="1185"/>
      <c r="CZ49" s="1185"/>
      <c r="DA49" s="1185"/>
      <c r="DB49" s="1185"/>
      <c r="DC49" s="1185"/>
      <c r="DD49" s="1185"/>
      <c r="DE49" s="1185"/>
      <c r="DF49" s="1185"/>
      <c r="DG49" s="1185"/>
      <c r="DH49" s="1185"/>
      <c r="DI49" s="1185"/>
      <c r="DJ49" s="1185"/>
      <c r="DK49" s="1185"/>
      <c r="DL49" s="1185"/>
      <c r="DM49" s="1185"/>
      <c r="DN49" s="1185"/>
      <c r="DO49" s="1185"/>
      <c r="DP49" s="1185"/>
      <c r="DQ49" s="1185"/>
      <c r="DR49" s="1185"/>
      <c r="DS49" s="1185"/>
      <c r="DT49" s="1008"/>
      <c r="DU49" s="1008"/>
      <c r="DV49" s="1008"/>
      <c r="DW49" s="1008"/>
      <c r="DX49" s="1008"/>
      <c r="DY49" s="1008"/>
      <c r="DZ49" s="1008"/>
      <c r="EA49" s="1008"/>
      <c r="EB49" s="1008"/>
      <c r="EC49" s="1008"/>
      <c r="ED49" s="1008"/>
      <c r="EE49" s="1008"/>
      <c r="EF49" s="1008"/>
      <c r="EG49" s="1008"/>
      <c r="EH49" s="1007"/>
      <c r="EI49" s="1007"/>
      <c r="EJ49" s="1007"/>
      <c r="EK49" s="1007"/>
      <c r="EL49" s="1007"/>
      <c r="EM49" s="1007"/>
      <c r="EN49" s="1008"/>
      <c r="EO49" s="1008"/>
      <c r="EP49" s="1008"/>
      <c r="EQ49" s="1008"/>
      <c r="ER49" s="1008"/>
      <c r="ES49" s="1008"/>
      <c r="ET49" s="1008"/>
      <c r="EU49" s="1008"/>
      <c r="EV49" s="1008"/>
      <c r="EW49" s="1008"/>
      <c r="EX49" s="1008"/>
      <c r="EY49" s="1008"/>
      <c r="EZ49" s="1008"/>
      <c r="FA49" s="1008"/>
      <c r="FB49" s="1008"/>
      <c r="FC49" s="1008"/>
      <c r="FD49" s="1008"/>
      <c r="FE49" s="1008"/>
      <c r="FF49" s="1008"/>
      <c r="FG49" s="1008"/>
      <c r="FH49" s="1008"/>
      <c r="FI49" s="1008"/>
      <c r="FJ49" s="1008"/>
      <c r="FK49" s="1008"/>
      <c r="FL49" s="1008"/>
      <c r="FM49" s="1008"/>
      <c r="FN49" s="1008"/>
      <c r="FO49" s="1008"/>
      <c r="FP49" s="1008"/>
      <c r="FQ49" s="1008"/>
      <c r="FR49" s="1008"/>
      <c r="FS49" s="1008"/>
      <c r="FT49" s="1008"/>
      <c r="FU49" s="1008"/>
      <c r="FV49" s="1008"/>
      <c r="FW49" s="1008"/>
      <c r="FX49" s="1008"/>
      <c r="FY49" s="1008"/>
      <c r="FZ49" s="1008"/>
      <c r="GA49" s="1008"/>
      <c r="GB49" s="1008"/>
      <c r="GC49" s="1008"/>
      <c r="GD49" s="1008"/>
      <c r="GE49" s="1008"/>
      <c r="GF49" s="1008"/>
      <c r="GG49" s="1008"/>
      <c r="GH49" s="1008"/>
      <c r="GI49" s="1008"/>
      <c r="GJ49" s="1008"/>
      <c r="GK49" s="1008"/>
      <c r="GL49" s="1008"/>
      <c r="GM49" s="1008"/>
      <c r="GN49" s="1008"/>
      <c r="GO49" s="1008"/>
      <c r="GP49" s="1008"/>
      <c r="GQ49" s="1008"/>
      <c r="GR49" s="1008"/>
      <c r="GS49" s="1008"/>
      <c r="GT49" s="1008"/>
      <c r="GU49" s="1008"/>
      <c r="GV49" s="1008"/>
      <c r="GW49" s="1008"/>
      <c r="GX49" s="1008"/>
      <c r="GY49" s="1007"/>
      <c r="GZ49" s="1008"/>
      <c r="HA49" s="1008"/>
      <c r="HB49" s="1008"/>
      <c r="HC49" s="1007"/>
      <c r="HD49" s="1007"/>
      <c r="HE49" s="1007"/>
      <c r="HF49" s="1007"/>
      <c r="HG49" s="1007"/>
      <c r="HH49" s="1007"/>
      <c r="HI49" s="1007"/>
      <c r="HJ49" s="1007"/>
      <c r="HK49" s="1007"/>
      <c r="HL49" s="1008"/>
      <c r="HM49" s="1008"/>
      <c r="HN49" s="1008"/>
      <c r="HO49" s="1008"/>
      <c r="HP49" s="1008"/>
      <c r="HQ49" s="1008"/>
      <c r="HR49" s="1008"/>
      <c r="HS49" s="1008"/>
      <c r="HT49" s="1008"/>
      <c r="HU49" s="1008"/>
      <c r="HV49" s="1008"/>
      <c r="HW49" s="1008"/>
      <c r="HX49" s="1008"/>
      <c r="HY49" s="1008"/>
      <c r="HZ49" s="1008"/>
      <c r="IA49" s="1008"/>
      <c r="IB49" s="1008"/>
      <c r="IC49" s="1008"/>
      <c r="ID49" s="1008"/>
      <c r="IE49" s="1008"/>
      <c r="IF49" s="1008"/>
      <c r="IG49" s="1008"/>
      <c r="IH49" s="1008"/>
      <c r="II49" s="1008"/>
      <c r="IJ49" s="1008"/>
      <c r="IK49" s="1008"/>
      <c r="IL49" s="1008"/>
      <c r="IM49" s="1008"/>
      <c r="IN49" s="1008"/>
      <c r="IO49" s="1008"/>
      <c r="IP49" s="1008"/>
      <c r="IQ49" s="1008"/>
      <c r="IR49" s="1008"/>
      <c r="IS49" s="1008"/>
      <c r="IT49" s="1008"/>
      <c r="IU49" s="1008"/>
      <c r="IV49" s="1008"/>
      <c r="IW49" s="1008"/>
      <c r="IX49" s="1008"/>
      <c r="IY49" s="1008"/>
      <c r="IZ49" s="1008"/>
      <c r="JA49" s="1008"/>
      <c r="JB49" s="1008"/>
      <c r="JC49" s="1008"/>
      <c r="JD49" s="1008"/>
      <c r="JE49" s="1008"/>
      <c r="JF49" s="1008"/>
      <c r="JG49" s="1008"/>
      <c r="JH49" s="1008"/>
      <c r="JI49" s="1008"/>
      <c r="JJ49" s="1008"/>
      <c r="JK49" s="1008"/>
      <c r="JL49" s="1008"/>
      <c r="JM49" s="1008"/>
      <c r="JN49" s="1008"/>
      <c r="JO49" s="1008"/>
      <c r="JP49" s="1008"/>
      <c r="JQ49" s="1008"/>
      <c r="JR49" s="1008"/>
      <c r="JS49" s="1008"/>
      <c r="JT49" s="1008"/>
      <c r="JU49" s="1008"/>
      <c r="JV49" s="1008"/>
      <c r="JW49" s="1008"/>
      <c r="JX49" s="1008"/>
      <c r="JY49" s="1008"/>
      <c r="JZ49" s="1008"/>
      <c r="KA49" s="1008"/>
      <c r="KB49" s="1008"/>
      <c r="KC49" s="1008"/>
      <c r="NB49" s="1004"/>
      <c r="NC49" s="1004"/>
      <c r="ND49" s="1004"/>
      <c r="NE49" s="1004"/>
      <c r="NF49" s="1004"/>
      <c r="NG49" s="1004"/>
      <c r="NH49" s="1004"/>
      <c r="NI49" s="1004"/>
      <c r="NJ49" s="1004"/>
      <c r="NK49" s="1004"/>
      <c r="NL49" s="1004"/>
      <c r="NM49" s="1004"/>
      <c r="NN49" s="1004"/>
      <c r="NO49" s="1004"/>
      <c r="NP49" s="1004"/>
      <c r="NQ49" s="1004"/>
      <c r="NR49" s="1004"/>
      <c r="NS49" s="1004"/>
      <c r="NT49" s="1004"/>
      <c r="NU49" s="1004"/>
      <c r="NV49" s="1004"/>
      <c r="NW49" s="1004"/>
      <c r="NX49" s="1188"/>
      <c r="NY49" s="1188"/>
      <c r="NZ49" s="1188"/>
      <c r="OA49" s="1188"/>
      <c r="OB49" s="1188"/>
      <c r="OC49" s="1188"/>
      <c r="OD49" s="1188"/>
      <c r="OE49" s="1188"/>
      <c r="OF49" s="1188"/>
      <c r="OG49" s="1188"/>
      <c r="OH49" s="1188"/>
      <c r="OI49" s="1188"/>
      <c r="OJ49" s="1188"/>
      <c r="OK49" s="1188"/>
      <c r="OL49" s="1188"/>
      <c r="OM49" s="1188"/>
      <c r="ON49" s="1188"/>
      <c r="OO49" s="694"/>
      <c r="QH49" s="1007"/>
      <c r="QI49" s="1007"/>
      <c r="QJ49" s="1007"/>
      <c r="QK49" s="1007"/>
      <c r="QL49" s="1007"/>
      <c r="QM49" s="1007"/>
      <c r="QN49" s="1007"/>
      <c r="QO49" s="1007"/>
      <c r="QP49" s="1007"/>
      <c r="QQ49" s="1007"/>
      <c r="QR49" s="1007"/>
      <c r="QS49" s="1007"/>
      <c r="QT49" s="1007"/>
      <c r="QU49" s="1007"/>
      <c r="QV49" s="1007"/>
      <c r="QW49" s="1007"/>
      <c r="QX49" s="1007"/>
      <c r="QY49" s="1007"/>
      <c r="QZ49" s="1008"/>
      <c r="RA49" s="1008"/>
      <c r="RB49" s="1008"/>
      <c r="RC49" s="1008"/>
      <c r="RD49" s="1008"/>
      <c r="RE49" s="1008"/>
      <c r="RF49" s="1008"/>
      <c r="RG49" s="1008"/>
      <c r="RH49" s="1008"/>
      <c r="RI49" s="1008"/>
      <c r="RJ49" s="1008"/>
      <c r="RK49" s="1008"/>
      <c r="RL49" s="1008"/>
      <c r="RM49" s="1008"/>
      <c r="RN49" s="1008"/>
      <c r="RO49" s="1008"/>
      <c r="RP49" s="1008"/>
      <c r="RQ49" s="1008"/>
      <c r="RR49" s="1008"/>
      <c r="RS49" s="1008"/>
      <c r="RT49" s="1008"/>
      <c r="RU49" s="1008"/>
      <c r="RV49" s="1008"/>
      <c r="RW49" s="1008"/>
      <c r="RX49" s="1008"/>
      <c r="RY49" s="1008"/>
      <c r="RZ49" s="1008"/>
      <c r="SA49" s="1008"/>
      <c r="SB49" s="1008"/>
      <c r="SC49" s="1008"/>
      <c r="SD49" s="1007"/>
      <c r="SE49" s="1007"/>
      <c r="SF49" s="1007"/>
      <c r="SG49" s="1007"/>
      <c r="SH49" s="1007"/>
      <c r="SI49" s="1007"/>
      <c r="SJ49" s="1007"/>
      <c r="SK49" s="1007"/>
      <c r="SL49" s="1007"/>
      <c r="SM49" s="1007"/>
      <c r="SN49" s="1007"/>
      <c r="SO49" s="1007"/>
      <c r="SP49" s="1007"/>
      <c r="SQ49" s="1007"/>
      <c r="SR49" s="1007"/>
      <c r="SS49" s="1007"/>
      <c r="ST49" s="1007"/>
      <c r="SU49" s="1007"/>
      <c r="SV49" s="1007"/>
      <c r="SW49" s="1007"/>
      <c r="SX49" s="1007"/>
      <c r="SY49" s="1007"/>
      <c r="SZ49" s="1007"/>
      <c r="TA49" s="1007"/>
      <c r="TB49" s="1007"/>
      <c r="TC49" s="1007"/>
      <c r="TD49" s="1007"/>
      <c r="TE49" s="1007"/>
      <c r="TF49" s="1007"/>
      <c r="TG49" s="1007"/>
      <c r="TH49" s="1007"/>
      <c r="TI49" s="1007"/>
      <c r="TJ49" s="1007"/>
      <c r="TK49" s="1007"/>
      <c r="TL49" s="1007"/>
      <c r="TM49" s="1007"/>
      <c r="TN49" s="1007"/>
      <c r="TO49" s="1007"/>
      <c r="TP49" s="1007"/>
      <c r="TQ49" s="1007"/>
      <c r="TR49" s="1007"/>
      <c r="TS49" s="1007"/>
      <c r="TT49" s="1007"/>
      <c r="TU49" s="1007"/>
      <c r="TV49" s="1007"/>
      <c r="TW49" s="1007"/>
      <c r="TX49" s="1007"/>
      <c r="TY49" s="1007"/>
      <c r="TZ49" s="1007"/>
      <c r="UA49" s="1007"/>
      <c r="UB49" s="1007"/>
      <c r="UC49" s="1007"/>
      <c r="UD49" s="1007"/>
      <c r="UE49" s="1007"/>
      <c r="UF49" s="1007"/>
      <c r="UG49" s="1007"/>
      <c r="UH49" s="1007"/>
      <c r="UI49" s="1007"/>
      <c r="UJ49" s="1007"/>
      <c r="UK49" s="1007"/>
      <c r="UL49" s="1007"/>
      <c r="UM49" s="1007"/>
      <c r="UN49" s="1007"/>
      <c r="UO49" s="1007"/>
      <c r="UP49" s="1007"/>
      <c r="UQ49" s="1007"/>
      <c r="UR49" s="1007"/>
      <c r="US49" s="1007"/>
      <c r="UT49" s="1007"/>
      <c r="UU49" s="1007"/>
      <c r="UV49" s="1007"/>
      <c r="UW49" s="1007"/>
      <c r="UX49" s="1007"/>
      <c r="UY49" s="1007"/>
      <c r="UZ49" s="1007"/>
      <c r="VA49" s="1007"/>
      <c r="VB49" s="1185"/>
      <c r="VC49" s="1185"/>
      <c r="VD49" s="1185"/>
      <c r="VE49" s="1185"/>
      <c r="VF49" s="1185"/>
      <c r="VG49" s="1185"/>
      <c r="VH49" s="1185"/>
      <c r="VI49" s="1185"/>
      <c r="VJ49" s="993"/>
      <c r="VK49" s="694"/>
      <c r="VL49" s="694"/>
      <c r="VM49" s="993"/>
      <c r="VN49" s="694"/>
      <c r="VO49" s="993"/>
      <c r="VP49" s="1188"/>
      <c r="VQ49" s="1188"/>
      <c r="VR49" s="1188"/>
      <c r="VS49" s="1188"/>
      <c r="VT49" s="1188"/>
      <c r="VU49" s="1188"/>
      <c r="VV49" s="1185"/>
      <c r="VW49" s="1185"/>
      <c r="VX49" s="1185"/>
      <c r="VY49" s="1185"/>
      <c r="VZ49" s="1185"/>
      <c r="WA49" s="1185"/>
      <c r="WB49" s="1185"/>
      <c r="WC49" s="1185"/>
      <c r="WD49" s="1185"/>
      <c r="WE49" s="1185"/>
      <c r="WF49" s="1185"/>
      <c r="WG49" s="1185"/>
      <c r="WH49" s="1185"/>
      <c r="WI49" s="1185"/>
      <c r="WJ49" s="1185"/>
      <c r="WK49" s="1185"/>
      <c r="WL49" s="1185"/>
      <c r="WM49" s="1185"/>
      <c r="WN49" s="1185"/>
      <c r="WO49" s="1185"/>
      <c r="WP49" s="1185"/>
      <c r="WQ49" s="1185"/>
      <c r="WR49" s="1185"/>
      <c r="WS49" s="1185"/>
      <c r="WT49" s="1185"/>
      <c r="WU49" s="1185"/>
      <c r="WV49" s="1185"/>
      <c r="WW49" s="1185"/>
      <c r="WX49" s="1185"/>
      <c r="WY49" s="1185"/>
      <c r="WZ49" s="1185"/>
      <c r="XA49" s="1185"/>
      <c r="XB49" s="1185"/>
      <c r="XC49" s="1185"/>
      <c r="XD49" s="1185"/>
      <c r="XE49" s="1185"/>
      <c r="XF49" s="1185"/>
      <c r="XG49" s="1185"/>
      <c r="XH49" s="1185"/>
      <c r="XI49" s="1185"/>
      <c r="XJ49" s="1185"/>
      <c r="XK49" s="1185"/>
      <c r="XL49" s="1004"/>
      <c r="XM49" s="1004"/>
      <c r="XN49" s="1004"/>
      <c r="XO49" s="1004"/>
      <c r="XP49" s="1004"/>
      <c r="XQ49" s="1004"/>
      <c r="XR49" s="1004"/>
      <c r="XS49" s="1004"/>
      <c r="XT49" s="1004"/>
      <c r="XU49" s="1004"/>
      <c r="XV49" s="1004"/>
      <c r="XW49" s="1004"/>
      <c r="XX49" s="1004"/>
      <c r="XY49" s="1004"/>
      <c r="XZ49" s="1004"/>
      <c r="YA49" s="1004"/>
      <c r="YB49" s="1004"/>
      <c r="YC49" s="1004"/>
      <c r="YD49" s="1004"/>
      <c r="YE49" s="1004"/>
      <c r="YF49" s="1004"/>
      <c r="YG49" s="1004"/>
      <c r="YH49" s="1004"/>
      <c r="YI49" s="1004"/>
      <c r="YJ49" s="1004"/>
      <c r="YK49" s="1004"/>
      <c r="YL49" s="1004"/>
      <c r="YM49" s="1004"/>
      <c r="YN49" s="1004"/>
      <c r="YO49" s="1004"/>
      <c r="YP49" s="1004"/>
      <c r="YQ49" s="1004"/>
      <c r="YR49" s="1004"/>
      <c r="YS49" s="1004"/>
      <c r="YT49" s="1004"/>
      <c r="YU49" s="1004"/>
      <c r="YV49" s="1004"/>
      <c r="YW49" s="1004"/>
      <c r="YX49" s="1004"/>
      <c r="YY49" s="1004"/>
      <c r="YZ49" s="1004"/>
      <c r="ZA49" s="1004"/>
      <c r="ZB49" s="1004"/>
      <c r="ZC49" s="1004"/>
      <c r="ZD49" s="1004"/>
      <c r="ZE49" s="1004"/>
      <c r="ZF49" s="1004"/>
      <c r="ZG49" s="1004"/>
      <c r="ZH49" s="1004"/>
      <c r="ZI49" s="1004"/>
      <c r="ZJ49" s="1004"/>
      <c r="ZK49" s="1004"/>
      <c r="ZL49" s="1004"/>
      <c r="ZM49" s="1004"/>
      <c r="ZN49" s="1004"/>
      <c r="ZO49" s="1004"/>
      <c r="ZP49" s="1004"/>
      <c r="ZQ49" s="1004"/>
      <c r="ZR49" s="1004"/>
      <c r="ZS49" s="1004"/>
      <c r="ZT49" s="1004"/>
      <c r="ZU49" s="1004"/>
      <c r="ZV49" s="1004"/>
      <c r="ZW49" s="1004"/>
      <c r="ZX49" s="1004"/>
      <c r="ZY49" s="1004"/>
      <c r="ZZ49" s="1004"/>
      <c r="AAA49" s="1004"/>
      <c r="AAB49" s="1004"/>
      <c r="AAC49" s="1004"/>
      <c r="AAD49" s="993"/>
      <c r="AAE49" s="993"/>
      <c r="AAF49" s="994"/>
      <c r="AAG49" s="994"/>
      <c r="AAH49" s="694"/>
      <c r="AAI49" s="694"/>
      <c r="AAJ49" s="694"/>
      <c r="AAK49" s="694"/>
      <c r="AAL49" s="694"/>
      <c r="AAM49" s="694"/>
      <c r="AAN49" s="994"/>
      <c r="AAO49" s="994"/>
      <c r="AAP49" s="694"/>
      <c r="AAQ49" s="694"/>
      <c r="AAR49" s="694"/>
      <c r="AAS49" s="694"/>
      <c r="AAT49" s="694"/>
      <c r="AAU49" s="694"/>
      <c r="AAV49" s="694"/>
      <c r="AAW49" s="694"/>
    </row>
    <row r="50" spans="1:725" ht="16.5" x14ac:dyDescent="0.25">
      <c r="A50" s="1199" t="s">
        <v>1277</v>
      </c>
      <c r="B50" s="1349">
        <f>D50+AN50+'Проверочная  таблица'!VJ50+'Проверочная  таблица'!WR50</f>
        <v>22629108362.93</v>
      </c>
      <c r="C50" s="1349">
        <f>E50+'Проверочная  таблица'!VM50+AO50+'Проверочная  таблица'!WS50</f>
        <v>9583129803.7799988</v>
      </c>
      <c r="D50" s="1350">
        <f>D35</f>
        <v>4199910443.3000002</v>
      </c>
      <c r="E50" s="1350">
        <f>E35</f>
        <v>1637693745.9100001</v>
      </c>
      <c r="F50" s="1185"/>
      <c r="G50" s="1185"/>
      <c r="H50" s="1015"/>
      <c r="I50" s="1185"/>
      <c r="J50" s="1185"/>
      <c r="K50" s="1185"/>
      <c r="L50" s="1185"/>
      <c r="M50" s="1185"/>
      <c r="N50" s="1185"/>
      <c r="O50" s="1185"/>
      <c r="P50" s="1185"/>
      <c r="Q50" s="1185"/>
      <c r="R50" s="1185"/>
      <c r="S50" s="1185"/>
      <c r="T50" s="1185"/>
      <c r="U50" s="1185"/>
      <c r="V50" s="1185"/>
      <c r="W50" s="1185"/>
      <c r="X50" s="1185"/>
      <c r="Y50" s="1185"/>
      <c r="Z50" s="1185"/>
      <c r="AA50" s="1185"/>
      <c r="AB50" s="1185"/>
      <c r="AC50" s="1185"/>
      <c r="AD50" s="1185"/>
      <c r="AE50" s="1185"/>
      <c r="AF50" s="1185"/>
      <c r="AG50" s="1185"/>
      <c r="AH50" s="1185"/>
      <c r="AI50" s="1185"/>
      <c r="AJ50" s="1185"/>
      <c r="AK50" s="1185"/>
      <c r="AL50" s="1185"/>
      <c r="AM50" s="1199" t="s">
        <v>1277</v>
      </c>
      <c r="AN50" s="1350">
        <f>AN35</f>
        <v>8811636882.8799992</v>
      </c>
      <c r="AO50" s="1350">
        <f>AO35</f>
        <v>2908651303.3099999</v>
      </c>
      <c r="AP50" s="996"/>
      <c r="AQ50" s="996"/>
      <c r="AR50" s="996"/>
      <c r="AS50" s="996"/>
      <c r="AT50" s="996"/>
      <c r="AU50" s="996"/>
      <c r="AV50" s="996"/>
      <c r="AW50" s="996"/>
      <c r="AX50" s="996"/>
      <c r="AY50" s="996"/>
      <c r="AZ50" s="996"/>
      <c r="BA50" s="996"/>
      <c r="BB50" s="996"/>
      <c r="BC50" s="996"/>
      <c r="BD50" s="996"/>
      <c r="BE50" s="996"/>
      <c r="BF50" s="996"/>
      <c r="BG50" s="996"/>
      <c r="BH50" s="996"/>
      <c r="BI50" s="996"/>
      <c r="BJ50" s="996"/>
      <c r="BK50" s="996"/>
      <c r="BL50" s="996"/>
      <c r="BM50" s="996"/>
      <c r="BN50" s="996"/>
      <c r="BO50" s="996"/>
      <c r="BP50" s="996"/>
      <c r="BQ50" s="996"/>
      <c r="BR50" s="996"/>
      <c r="BS50" s="996"/>
      <c r="BT50" s="1185"/>
      <c r="BU50" s="1185"/>
      <c r="BV50" s="1185"/>
      <c r="BW50" s="1185"/>
      <c r="BX50" s="1185"/>
      <c r="BY50" s="1185"/>
      <c r="BZ50" s="1185"/>
      <c r="CA50" s="1185"/>
      <c r="CB50" s="1185"/>
      <c r="CC50" s="1185"/>
      <c r="CD50" s="1185"/>
      <c r="CE50" s="1185"/>
      <c r="CF50" s="1185"/>
      <c r="CG50" s="1185"/>
      <c r="CH50" s="1185"/>
      <c r="CI50" s="1185"/>
      <c r="CJ50" s="1185"/>
      <c r="CK50" s="1185"/>
      <c r="CL50" s="1185"/>
      <c r="CM50" s="1185"/>
      <c r="CN50" s="1185"/>
      <c r="CO50" s="1185"/>
      <c r="CP50" s="1185"/>
      <c r="CQ50" s="1185"/>
      <c r="CR50" s="1185"/>
      <c r="CS50" s="1185"/>
      <c r="CT50" s="1185"/>
      <c r="CU50" s="1185"/>
      <c r="CV50" s="1185"/>
      <c r="CW50" s="1185"/>
      <c r="CX50" s="1185"/>
      <c r="CY50" s="1185"/>
      <c r="CZ50" s="1185"/>
      <c r="DA50" s="1185"/>
      <c r="DB50" s="1185"/>
      <c r="DC50" s="1185"/>
      <c r="DD50" s="1185"/>
      <c r="DE50" s="1185"/>
      <c r="DF50" s="1185"/>
      <c r="DG50" s="1185"/>
      <c r="DH50" s="1185"/>
      <c r="DI50" s="1185"/>
      <c r="DJ50" s="1185"/>
      <c r="DK50" s="1185"/>
      <c r="DL50" s="1185"/>
      <c r="DM50" s="1185"/>
      <c r="DN50" s="1185"/>
      <c r="DO50" s="1185"/>
      <c r="DP50" s="1185"/>
      <c r="DQ50" s="1185"/>
      <c r="DR50" s="1185"/>
      <c r="DS50" s="1185"/>
      <c r="DT50" s="1185"/>
      <c r="DU50" s="1185"/>
      <c r="DV50" s="1185"/>
      <c r="DW50" s="1185"/>
      <c r="DX50" s="1185"/>
      <c r="DY50" s="1185"/>
      <c r="DZ50" s="1185"/>
      <c r="EA50" s="1185"/>
      <c r="EB50" s="1185"/>
      <c r="EC50" s="1185"/>
      <c r="ED50" s="1185"/>
      <c r="EE50" s="1185"/>
      <c r="EF50" s="1185"/>
      <c r="EG50" s="1185"/>
      <c r="EH50" s="996"/>
      <c r="EI50" s="996"/>
      <c r="EJ50" s="996"/>
      <c r="EK50" s="996"/>
      <c r="EL50" s="996"/>
      <c r="EM50" s="996"/>
      <c r="EN50" s="1185"/>
      <c r="EO50" s="1185"/>
      <c r="EP50" s="1185"/>
      <c r="EQ50" s="1185"/>
      <c r="ER50" s="1185"/>
      <c r="ES50" s="1185"/>
      <c r="ET50" s="1185"/>
      <c r="EU50" s="1185"/>
      <c r="EV50" s="1185"/>
      <c r="EW50" s="1185"/>
      <c r="EX50" s="1185"/>
      <c r="EY50" s="1185"/>
      <c r="EZ50" s="1185"/>
      <c r="FA50" s="1185"/>
      <c r="FB50" s="1185"/>
      <c r="FC50" s="1185"/>
      <c r="FD50" s="1185"/>
      <c r="FE50" s="1185"/>
      <c r="FF50" s="1185"/>
      <c r="FG50" s="1185"/>
      <c r="FH50" s="1185"/>
      <c r="FI50" s="1185"/>
      <c r="FJ50" s="1185"/>
      <c r="FK50" s="1185"/>
      <c r="FL50" s="1185"/>
      <c r="FM50" s="1185"/>
      <c r="FN50" s="1185"/>
      <c r="FO50" s="1185"/>
      <c r="FP50" s="1185"/>
      <c r="FQ50" s="1185"/>
      <c r="FR50" s="1185"/>
      <c r="FS50" s="1185"/>
      <c r="FT50" s="1185"/>
      <c r="FU50" s="1185"/>
      <c r="FV50" s="1185"/>
      <c r="FW50" s="1185"/>
      <c r="FX50" s="1185"/>
      <c r="FY50" s="1185"/>
      <c r="FZ50" s="1185"/>
      <c r="GA50" s="1185"/>
      <c r="GB50" s="1185"/>
      <c r="GC50" s="1185"/>
      <c r="GD50" s="1185"/>
      <c r="GE50" s="1185"/>
      <c r="GF50" s="1185"/>
      <c r="GG50" s="1185"/>
      <c r="GH50" s="1185"/>
      <c r="GI50" s="1185"/>
      <c r="GJ50" s="1185"/>
      <c r="GK50" s="1185"/>
      <c r="GL50" s="1185"/>
      <c r="GM50" s="1185"/>
      <c r="GN50" s="1185"/>
      <c r="GO50" s="1185"/>
      <c r="GP50" s="1185"/>
      <c r="GQ50" s="1185"/>
      <c r="GR50" s="1185"/>
      <c r="GS50" s="1185"/>
      <c r="GT50" s="1185"/>
      <c r="GU50" s="1185"/>
      <c r="GV50" s="1185"/>
      <c r="GW50" s="1185"/>
      <c r="GX50" s="1185"/>
      <c r="GY50" s="996"/>
      <c r="GZ50" s="1185"/>
      <c r="HA50" s="1185"/>
      <c r="HB50" s="1185"/>
      <c r="HC50" s="996"/>
      <c r="HD50" s="996"/>
      <c r="HE50" s="996"/>
      <c r="HF50" s="996"/>
      <c r="HG50" s="996"/>
      <c r="HH50" s="996"/>
      <c r="HI50" s="996"/>
      <c r="HJ50" s="996"/>
      <c r="HK50" s="996"/>
      <c r="HL50" s="1185"/>
      <c r="HM50" s="1185"/>
      <c r="HN50" s="1185"/>
      <c r="HO50" s="1185"/>
      <c r="HP50" s="1185"/>
      <c r="HQ50" s="1185"/>
      <c r="HR50" s="1185"/>
      <c r="HS50" s="1185"/>
      <c r="HT50" s="1185"/>
      <c r="HU50" s="1185"/>
      <c r="HV50" s="1185"/>
      <c r="HW50" s="1185"/>
      <c r="HX50" s="1185"/>
      <c r="HY50" s="1185"/>
      <c r="HZ50" s="1185"/>
      <c r="IA50" s="1185"/>
      <c r="IB50" s="1185"/>
      <c r="IC50" s="1185"/>
      <c r="ID50" s="1185"/>
      <c r="IE50" s="1185"/>
      <c r="IF50" s="1185"/>
      <c r="IG50" s="1185"/>
      <c r="IH50" s="1185"/>
      <c r="II50" s="1185"/>
      <c r="IJ50" s="1185"/>
      <c r="IK50" s="1185"/>
      <c r="IL50" s="1185"/>
      <c r="IM50" s="1185"/>
      <c r="IN50" s="1185"/>
      <c r="IO50" s="1185"/>
      <c r="IP50" s="1185"/>
      <c r="IQ50" s="1185"/>
      <c r="IR50" s="1185"/>
      <c r="IS50" s="1185"/>
      <c r="IT50" s="1185"/>
      <c r="IU50" s="1185"/>
      <c r="IV50" s="1185"/>
      <c r="IW50" s="1185"/>
      <c r="IX50" s="1185"/>
      <c r="IY50" s="1185"/>
      <c r="IZ50" s="1185"/>
      <c r="JA50" s="1185"/>
      <c r="JB50" s="1185"/>
      <c r="JC50" s="1185"/>
      <c r="JD50" s="1185"/>
      <c r="JE50" s="1185"/>
      <c r="JF50" s="1185"/>
      <c r="JG50" s="1185"/>
      <c r="JH50" s="1185"/>
      <c r="JI50" s="1185"/>
      <c r="JJ50" s="1185"/>
      <c r="JK50" s="1185"/>
      <c r="JL50" s="1185"/>
      <c r="JM50" s="1185"/>
      <c r="JN50" s="1185"/>
      <c r="JO50" s="1185"/>
      <c r="JP50" s="1185"/>
      <c r="JQ50" s="1185"/>
      <c r="JR50" s="996"/>
      <c r="JS50" s="996"/>
      <c r="JT50" s="996"/>
      <c r="JU50" s="996"/>
      <c r="JV50" s="996"/>
      <c r="JW50" s="996"/>
      <c r="JX50" s="996"/>
      <c r="JY50" s="996"/>
      <c r="JZ50" s="996"/>
      <c r="KA50" s="996"/>
      <c r="KB50" s="996"/>
      <c r="KC50" s="996"/>
      <c r="KD50" s="1185"/>
      <c r="KE50" s="1185"/>
      <c r="KF50" s="1185"/>
      <c r="KG50" s="1185"/>
      <c r="KH50" s="1185"/>
      <c r="KI50" s="1185"/>
      <c r="KJ50" s="1185"/>
      <c r="KK50" s="1185"/>
      <c r="KL50" s="1185"/>
      <c r="KM50" s="1185"/>
      <c r="KN50" s="1185"/>
      <c r="KO50" s="1185"/>
      <c r="KP50" s="1185"/>
      <c r="KQ50" s="1185"/>
      <c r="KR50" s="1185"/>
      <c r="KS50" s="1185"/>
      <c r="KT50" s="1185"/>
      <c r="KU50" s="1185"/>
      <c r="KV50" s="1185"/>
      <c r="KW50" s="1185"/>
      <c r="KX50" s="1185"/>
      <c r="KY50" s="1185"/>
      <c r="KZ50" s="1185"/>
      <c r="LA50" s="1185"/>
      <c r="LB50" s="1185"/>
      <c r="LC50" s="1185"/>
      <c r="LD50" s="1185"/>
      <c r="LE50" s="1185"/>
      <c r="LF50" s="1185"/>
      <c r="LG50" s="1185"/>
      <c r="LH50" s="1185"/>
      <c r="LI50" s="1185"/>
      <c r="LJ50" s="1185"/>
      <c r="LK50" s="1185"/>
      <c r="LL50" s="1185"/>
      <c r="LM50" s="1185"/>
      <c r="LN50" s="1185"/>
      <c r="LO50" s="1185"/>
      <c r="LP50" s="1185"/>
      <c r="LQ50" s="1185"/>
      <c r="LR50" s="1185"/>
      <c r="LS50" s="1185"/>
      <c r="LT50" s="1185"/>
      <c r="LU50" s="1185"/>
      <c r="LV50" s="1185"/>
      <c r="LW50" s="1185"/>
      <c r="LX50" s="1185"/>
      <c r="LY50" s="1185"/>
      <c r="LZ50" s="1185"/>
      <c r="MA50" s="1185"/>
      <c r="MB50" s="1185"/>
      <c r="MC50" s="1185"/>
      <c r="MD50" s="1185"/>
      <c r="ME50" s="1185"/>
      <c r="MF50" s="1185"/>
      <c r="MG50" s="1185"/>
      <c r="MH50" s="1185"/>
      <c r="MI50" s="1185"/>
      <c r="MJ50" s="1185"/>
      <c r="MK50" s="1185"/>
      <c r="ML50" s="1185"/>
      <c r="MM50" s="1185"/>
      <c r="MN50" s="1185"/>
      <c r="MO50" s="1185"/>
      <c r="MP50" s="1185"/>
      <c r="MQ50" s="1185"/>
      <c r="MR50" s="1185"/>
      <c r="MS50" s="1185"/>
      <c r="MT50" s="1185"/>
      <c r="MU50" s="1185"/>
      <c r="MV50" s="1185"/>
      <c r="MW50" s="1185"/>
      <c r="MX50" s="1185"/>
      <c r="MY50" s="1185"/>
      <c r="MZ50" s="1185"/>
      <c r="NA50" s="1185"/>
      <c r="NB50" s="1004"/>
      <c r="NC50" s="1004"/>
      <c r="ND50" s="1004"/>
      <c r="NE50" s="1004"/>
      <c r="NF50" s="1004"/>
      <c r="NG50" s="1004"/>
      <c r="NH50" s="1004"/>
      <c r="NI50" s="1004"/>
      <c r="NJ50" s="1004"/>
      <c r="NK50" s="1004"/>
      <c r="NL50" s="1004"/>
      <c r="NM50" s="1004"/>
      <c r="NN50" s="1004"/>
      <c r="NO50" s="1004"/>
      <c r="NP50" s="1004"/>
      <c r="NQ50" s="1004"/>
      <c r="NR50" s="1004"/>
      <c r="NS50" s="1004"/>
      <c r="NT50" s="1004"/>
      <c r="NU50" s="1004"/>
      <c r="NV50" s="1004"/>
      <c r="NW50" s="1004"/>
      <c r="NX50" s="1188"/>
      <c r="NY50" s="1188"/>
      <c r="NZ50" s="1188"/>
      <c r="OA50" s="1188"/>
      <c r="OB50" s="1188"/>
      <c r="OC50" s="1188"/>
      <c r="OD50" s="1188"/>
      <c r="OE50" s="1188"/>
      <c r="OF50" s="1188"/>
      <c r="OG50" s="1188"/>
      <c r="OH50" s="1188"/>
      <c r="OI50" s="1188"/>
      <c r="OJ50" s="1188"/>
      <c r="OK50" s="1188"/>
      <c r="OL50" s="1188"/>
      <c r="OM50" s="1188"/>
      <c r="ON50" s="1188"/>
      <c r="OO50" s="1188"/>
      <c r="OP50" s="992"/>
      <c r="OQ50" s="992"/>
      <c r="OR50" s="1185"/>
      <c r="OS50" s="1185"/>
      <c r="OT50" s="1185"/>
      <c r="OU50" s="1185"/>
      <c r="OV50" s="1185"/>
      <c r="OW50" s="1185"/>
      <c r="OX50" s="1185"/>
      <c r="OY50" s="1185"/>
      <c r="OZ50" s="1185"/>
      <c r="PA50" s="1185"/>
      <c r="PB50" s="1185"/>
      <c r="PC50" s="1185"/>
      <c r="PD50" s="1185"/>
      <c r="PE50" s="1185"/>
      <c r="PF50" s="1185"/>
      <c r="PG50" s="1185"/>
      <c r="PH50" s="1185"/>
      <c r="PI50" s="1185"/>
      <c r="PJ50" s="1185"/>
      <c r="PK50" s="1185"/>
      <c r="PL50" s="1185"/>
      <c r="PM50" s="1185"/>
      <c r="PN50" s="1185"/>
      <c r="PO50" s="1185"/>
      <c r="PP50" s="1185"/>
      <c r="PQ50" s="1185"/>
      <c r="PR50" s="1185"/>
      <c r="PS50" s="1185"/>
      <c r="PT50" s="1185"/>
      <c r="PU50" s="1185"/>
      <c r="PV50" s="1185"/>
      <c r="PW50" s="1185"/>
      <c r="PX50" s="1185"/>
      <c r="PY50" s="1185"/>
      <c r="PZ50" s="1185"/>
      <c r="QA50" s="1185"/>
      <c r="QB50" s="1185"/>
      <c r="QC50" s="1185"/>
      <c r="QD50" s="1185"/>
      <c r="QE50" s="1185"/>
      <c r="QF50" s="1185"/>
      <c r="QG50" s="1185"/>
      <c r="QH50" s="996"/>
      <c r="QI50" s="996"/>
      <c r="QJ50" s="996"/>
      <c r="QK50" s="996"/>
      <c r="QL50" s="996"/>
      <c r="QM50" s="996"/>
      <c r="QN50" s="996"/>
      <c r="QO50" s="996"/>
      <c r="QP50" s="996"/>
      <c r="QQ50" s="996"/>
      <c r="QR50" s="996"/>
      <c r="QS50" s="996"/>
      <c r="QT50" s="996"/>
      <c r="QU50" s="996"/>
      <c r="QV50" s="996"/>
      <c r="QW50" s="996"/>
      <c r="QX50" s="996"/>
      <c r="QY50" s="996"/>
      <c r="QZ50" s="1185"/>
      <c r="RA50" s="1185"/>
      <c r="RB50" s="1185"/>
      <c r="RC50" s="1185"/>
      <c r="RD50" s="1185"/>
      <c r="RE50" s="1185"/>
      <c r="RF50" s="1185"/>
      <c r="RG50" s="1185"/>
      <c r="RH50" s="1185"/>
      <c r="RI50" s="1185"/>
      <c r="RJ50" s="1185"/>
      <c r="RK50" s="1185"/>
      <c r="RL50" s="1185"/>
      <c r="RM50" s="1185"/>
      <c r="RN50" s="1185"/>
      <c r="RO50" s="1185"/>
      <c r="RP50" s="1185"/>
      <c r="RQ50" s="1185"/>
      <c r="RR50" s="1185"/>
      <c r="RS50" s="1185"/>
      <c r="RT50" s="1185"/>
      <c r="RU50" s="1185"/>
      <c r="RV50" s="1185"/>
      <c r="RW50" s="1185"/>
      <c r="RX50" s="1185"/>
      <c r="RY50" s="1185"/>
      <c r="RZ50" s="1185"/>
      <c r="SA50" s="1185"/>
      <c r="SB50" s="1185"/>
      <c r="SC50" s="1185"/>
      <c r="SD50" s="996"/>
      <c r="SE50" s="996"/>
      <c r="SF50" s="996"/>
      <c r="SG50" s="996"/>
      <c r="SH50" s="996"/>
      <c r="SI50" s="996"/>
      <c r="SJ50" s="996"/>
      <c r="SK50" s="996"/>
      <c r="SL50" s="996"/>
      <c r="SM50" s="996"/>
      <c r="SN50" s="996"/>
      <c r="SO50" s="996"/>
      <c r="SP50" s="996"/>
      <c r="SQ50" s="996"/>
      <c r="SR50" s="996"/>
      <c r="SS50" s="996"/>
      <c r="ST50" s="996"/>
      <c r="SU50" s="996"/>
      <c r="SV50" s="996"/>
      <c r="SW50" s="996"/>
      <c r="SX50" s="996"/>
      <c r="SY50" s="996"/>
      <c r="SZ50" s="996"/>
      <c r="TA50" s="996"/>
      <c r="TB50" s="996"/>
      <c r="TC50" s="996"/>
      <c r="TD50" s="996"/>
      <c r="TE50" s="996"/>
      <c r="TF50" s="996"/>
      <c r="TG50" s="996"/>
      <c r="TH50" s="996"/>
      <c r="TI50" s="996"/>
      <c r="TJ50" s="996"/>
      <c r="TK50" s="996"/>
      <c r="TL50" s="996"/>
      <c r="TM50" s="996"/>
      <c r="TN50" s="996"/>
      <c r="TO50" s="996"/>
      <c r="TP50" s="996"/>
      <c r="TQ50" s="996"/>
      <c r="TR50" s="996"/>
      <c r="TS50" s="996"/>
      <c r="TT50" s="996"/>
      <c r="TU50" s="996"/>
      <c r="TV50" s="996"/>
      <c r="TW50" s="996"/>
      <c r="TX50" s="996"/>
      <c r="TY50" s="996"/>
      <c r="TZ50" s="996"/>
      <c r="UA50" s="996"/>
      <c r="UB50" s="996"/>
      <c r="UC50" s="996"/>
      <c r="UD50" s="996"/>
      <c r="UE50" s="996"/>
      <c r="UF50" s="996"/>
      <c r="UG50" s="996"/>
      <c r="UH50" s="996"/>
      <c r="UI50" s="996"/>
      <c r="UJ50" s="996"/>
      <c r="UK50" s="996"/>
      <c r="UL50" s="996"/>
      <c r="UM50" s="996"/>
      <c r="UN50" s="996"/>
      <c r="UO50" s="996"/>
      <c r="UP50" s="996"/>
      <c r="UQ50" s="996"/>
      <c r="UR50" s="996"/>
      <c r="US50" s="996"/>
      <c r="UT50" s="996"/>
      <c r="UU50" s="996"/>
      <c r="UV50" s="996"/>
      <c r="UW50" s="996"/>
      <c r="UX50" s="996"/>
      <c r="UY50" s="996"/>
      <c r="UZ50" s="996"/>
      <c r="VA50" s="996"/>
      <c r="VB50" s="1185"/>
      <c r="VC50" s="1185"/>
      <c r="VD50" s="1185"/>
      <c r="VE50" s="1185"/>
      <c r="VF50" s="1185"/>
      <c r="VG50" s="1185"/>
      <c r="VH50" s="1185"/>
      <c r="VI50" s="1185"/>
      <c r="VJ50" s="1350">
        <f>VJ35</f>
        <v>8357986225.0400009</v>
      </c>
      <c r="VK50" s="1199"/>
      <c r="VL50" s="1199"/>
      <c r="VM50" s="1350">
        <f>VM35</f>
        <v>4578427458.4899998</v>
      </c>
      <c r="VN50" s="1185"/>
      <c r="VO50" s="1185"/>
      <c r="VP50" s="1185"/>
      <c r="VQ50" s="1185"/>
      <c r="VR50" s="1185"/>
      <c r="VS50" s="1185"/>
      <c r="VT50" s="1185"/>
      <c r="VU50" s="1185"/>
      <c r="VV50" s="1185"/>
      <c r="VW50" s="1185"/>
      <c r="VX50" s="1185"/>
      <c r="VY50" s="1185"/>
      <c r="VZ50" s="1185"/>
      <c r="WA50" s="1185"/>
      <c r="WB50" s="1185"/>
      <c r="WC50" s="1185"/>
      <c r="WD50" s="1185"/>
      <c r="WE50" s="1185"/>
      <c r="WF50" s="1185"/>
      <c r="WG50" s="1185"/>
      <c r="WH50" s="1185"/>
      <c r="WI50" s="1185"/>
      <c r="WJ50" s="1185"/>
      <c r="WK50" s="1185"/>
      <c r="WL50" s="1185"/>
      <c r="WM50" s="1185"/>
      <c r="WN50" s="1185"/>
      <c r="WO50" s="1185"/>
      <c r="WP50" s="1185"/>
      <c r="WQ50" s="1185"/>
      <c r="WR50" s="1350">
        <f>WR35</f>
        <v>1259574811.71</v>
      </c>
      <c r="WS50" s="1350">
        <f>WS35</f>
        <v>458357296.07000005</v>
      </c>
      <c r="WT50" s="996"/>
      <c r="WU50" s="996"/>
      <c r="WV50" s="996"/>
      <c r="WW50" s="996"/>
      <c r="WX50" s="996"/>
      <c r="WY50" s="996"/>
      <c r="WZ50" s="996"/>
      <c r="XA50" s="996"/>
      <c r="XB50" s="996"/>
      <c r="XC50" s="1351"/>
      <c r="XD50" s="1351"/>
      <c r="XE50" s="1351"/>
      <c r="XF50" s="996"/>
      <c r="XG50" s="996"/>
      <c r="XH50" s="996"/>
      <c r="XI50" s="996"/>
      <c r="XJ50" s="996"/>
      <c r="XK50" s="996"/>
      <c r="XL50" s="996"/>
      <c r="XM50" s="996"/>
      <c r="XN50" s="996"/>
      <c r="XO50" s="996"/>
      <c r="XP50" s="996"/>
      <c r="XQ50" s="996"/>
      <c r="XR50" s="996"/>
      <c r="XS50" s="996"/>
      <c r="XT50" s="996"/>
      <c r="XU50" s="996"/>
      <c r="XV50" s="996"/>
      <c r="XW50" s="996"/>
      <c r="XX50" s="1004"/>
      <c r="XY50" s="1004"/>
      <c r="XZ50" s="1004"/>
      <c r="YA50" s="1004"/>
      <c r="YB50" s="1004"/>
      <c r="YC50" s="1004"/>
      <c r="YD50" s="1004"/>
      <c r="YE50" s="1004"/>
      <c r="YF50" s="1004"/>
      <c r="YG50" s="1004"/>
      <c r="YH50" s="1004"/>
      <c r="YI50" s="1004"/>
      <c r="YJ50" s="1004"/>
      <c r="YK50" s="1004"/>
      <c r="YL50" s="1004"/>
      <c r="YM50" s="1004"/>
      <c r="YN50" s="1004"/>
      <c r="YO50" s="1004"/>
      <c r="YP50" s="1004"/>
      <c r="YQ50" s="1004"/>
      <c r="YR50" s="1004"/>
      <c r="YS50" s="1004"/>
      <c r="YT50" s="1004"/>
      <c r="YU50" s="1004"/>
      <c r="YV50" s="1004"/>
      <c r="YW50" s="1004"/>
      <c r="YX50" s="1004"/>
      <c r="YY50" s="1004"/>
      <c r="YZ50" s="1004"/>
      <c r="ZA50" s="1004"/>
      <c r="ZB50" s="1004"/>
      <c r="ZC50" s="1004"/>
      <c r="ZD50" s="1004"/>
      <c r="ZE50" s="1004"/>
      <c r="ZF50" s="1004"/>
      <c r="ZG50" s="1004"/>
      <c r="ZH50" s="1004"/>
      <c r="ZI50" s="1004"/>
      <c r="ZJ50" s="1004"/>
      <c r="ZK50" s="1004"/>
      <c r="ZL50" s="1004"/>
      <c r="ZM50" s="1004"/>
      <c r="ZN50" s="1004"/>
      <c r="ZO50" s="1004"/>
      <c r="ZP50" s="1004"/>
      <c r="ZQ50" s="1004"/>
      <c r="ZR50" s="1004"/>
      <c r="ZS50" s="1004"/>
      <c r="ZT50" s="1004"/>
      <c r="ZU50" s="1004"/>
      <c r="ZV50" s="1004"/>
      <c r="ZW50" s="1004"/>
      <c r="ZX50" s="1004"/>
      <c r="ZY50" s="1004"/>
      <c r="ZZ50" s="1004"/>
      <c r="AAA50" s="1004"/>
      <c r="AAB50" s="1004"/>
      <c r="AAC50" s="1004"/>
      <c r="AAD50" s="993"/>
      <c r="AAE50" s="993"/>
      <c r="AAF50" s="994"/>
      <c r="AAG50" s="994"/>
      <c r="AAH50" s="694"/>
      <c r="AAI50" s="694"/>
      <c r="AAJ50" s="694"/>
      <c r="AAK50" s="694"/>
      <c r="AAL50" s="694"/>
      <c r="AAM50" s="694"/>
      <c r="AAN50" s="694"/>
      <c r="AAO50" s="694"/>
      <c r="AAP50" s="694"/>
      <c r="AAQ50" s="694"/>
      <c r="AAR50" s="694"/>
      <c r="AAS50" s="694"/>
      <c r="AAT50" s="694"/>
      <c r="AAU50" s="694"/>
      <c r="AAV50" s="694"/>
      <c r="AAW50" s="694"/>
    </row>
    <row r="51" spans="1:725" ht="16.5" x14ac:dyDescent="0.25">
      <c r="A51" s="1199" t="s">
        <v>1278</v>
      </c>
      <c r="B51" s="1349">
        <f>D51+AN51+'Проверочная  таблица'!VJ51+'Проверочная  таблица'!WR51</f>
        <v>18674841458.760006</v>
      </c>
      <c r="C51" s="1349">
        <f>E51+'Проверочная  таблица'!VM51+AO51+'Проверочная  таблица'!WS51</f>
        <v>7483642395.9300003</v>
      </c>
      <c r="D51" s="1352">
        <f>D31-D52</f>
        <v>1786514965.000001</v>
      </c>
      <c r="E51" s="1352">
        <f>E31-E52</f>
        <v>799234037</v>
      </c>
      <c r="F51" s="694"/>
      <c r="G51" s="694"/>
      <c r="H51" s="694"/>
      <c r="I51" s="694"/>
      <c r="J51" s="694"/>
      <c r="K51" s="694"/>
      <c r="L51" s="694"/>
      <c r="M51" s="694"/>
      <c r="N51" s="694"/>
      <c r="O51" s="694"/>
      <c r="P51" s="694"/>
      <c r="Q51" s="694"/>
      <c r="R51" s="694"/>
      <c r="S51" s="694"/>
      <c r="T51" s="694"/>
      <c r="U51" s="694"/>
      <c r="V51" s="1185"/>
      <c r="W51" s="1185"/>
      <c r="X51" s="1185"/>
      <c r="Y51" s="1185"/>
      <c r="Z51" s="694"/>
      <c r="AA51" s="694"/>
      <c r="AB51" s="694"/>
      <c r="AC51" s="694"/>
      <c r="AD51" s="1185"/>
      <c r="AE51" s="1185"/>
      <c r="AF51" s="1185"/>
      <c r="AG51" s="694"/>
      <c r="AH51" s="1185"/>
      <c r="AI51" s="1185"/>
      <c r="AJ51" s="1185"/>
      <c r="AK51" s="1185"/>
      <c r="AL51" s="1185"/>
      <c r="AM51" s="1199" t="s">
        <v>1278</v>
      </c>
      <c r="AN51" s="1352">
        <f>AN31-AN52</f>
        <v>7641733709.4100008</v>
      </c>
      <c r="AO51" s="1352">
        <f>AO31-AO52</f>
        <v>1396975635.5699999</v>
      </c>
      <c r="AP51" s="993"/>
      <c r="AQ51" s="993"/>
      <c r="AR51" s="993"/>
      <c r="AS51" s="993"/>
      <c r="AT51" s="993"/>
      <c r="AU51" s="993"/>
      <c r="AV51" s="993"/>
      <c r="AW51" s="993"/>
      <c r="AX51" s="993"/>
      <c r="AY51" s="993"/>
      <c r="AZ51" s="993"/>
      <c r="BA51" s="993"/>
      <c r="BB51" s="993"/>
      <c r="BC51" s="993"/>
      <c r="BD51" s="993"/>
      <c r="BE51" s="993"/>
      <c r="BF51" s="993"/>
      <c r="BG51" s="993"/>
      <c r="BH51" s="993"/>
      <c r="BI51" s="993"/>
      <c r="BJ51" s="993"/>
      <c r="BK51" s="993"/>
      <c r="BL51" s="993"/>
      <c r="BM51" s="993"/>
      <c r="BN51" s="993"/>
      <c r="BO51" s="993"/>
      <c r="BP51" s="993"/>
      <c r="BQ51" s="993"/>
      <c r="BR51" s="993"/>
      <c r="BS51" s="993"/>
      <c r="BT51" s="694"/>
      <c r="BU51" s="694"/>
      <c r="BV51" s="694"/>
      <c r="BW51" s="694"/>
      <c r="BX51" s="694"/>
      <c r="BY51" s="694"/>
      <c r="BZ51" s="694"/>
      <c r="CA51" s="694"/>
      <c r="CB51" s="1185"/>
      <c r="CC51" s="1185"/>
      <c r="CD51" s="1185"/>
      <c r="CE51" s="1185"/>
      <c r="CF51" s="1185"/>
      <c r="CG51" s="1185"/>
      <c r="CH51" s="694"/>
      <c r="CI51" s="694"/>
      <c r="CJ51" s="694"/>
      <c r="CK51" s="694"/>
      <c r="CL51" s="694"/>
      <c r="CM51" s="694"/>
      <c r="CN51" s="694"/>
      <c r="CO51" s="694"/>
      <c r="CP51" s="694"/>
      <c r="CQ51" s="694"/>
      <c r="CR51" s="694"/>
      <c r="CS51" s="694"/>
      <c r="CT51" s="694"/>
      <c r="CU51" s="694"/>
      <c r="CV51" s="694"/>
      <c r="CW51" s="694"/>
      <c r="CX51" s="694"/>
      <c r="CY51" s="694"/>
      <c r="CZ51" s="694"/>
      <c r="DA51" s="694"/>
      <c r="DB51" s="694"/>
      <c r="DC51" s="694"/>
      <c r="DD51" s="694"/>
      <c r="DE51" s="694"/>
      <c r="DF51" s="694"/>
      <c r="DG51" s="694"/>
      <c r="DH51" s="694"/>
      <c r="DI51" s="694"/>
      <c r="DJ51" s="694"/>
      <c r="DK51" s="694"/>
      <c r="DL51" s="694"/>
      <c r="DM51" s="694"/>
      <c r="DN51" s="694"/>
      <c r="DO51" s="694"/>
      <c r="DP51" s="694"/>
      <c r="DQ51" s="694"/>
      <c r="DR51" s="694"/>
      <c r="DS51" s="694"/>
      <c r="DT51" s="694"/>
      <c r="DU51" s="694"/>
      <c r="DV51" s="694"/>
      <c r="DW51" s="694"/>
      <c r="DX51" s="694"/>
      <c r="DY51" s="694"/>
      <c r="DZ51" s="694"/>
      <c r="EA51" s="694"/>
      <c r="EB51" s="694"/>
      <c r="EC51" s="694"/>
      <c r="ED51" s="694"/>
      <c r="EE51" s="694"/>
      <c r="EF51" s="694"/>
      <c r="EG51" s="694"/>
      <c r="EH51" s="993"/>
      <c r="EI51" s="993"/>
      <c r="EJ51" s="993"/>
      <c r="EK51" s="993"/>
      <c r="EL51" s="993"/>
      <c r="EM51" s="993"/>
      <c r="EN51" s="694"/>
      <c r="EO51" s="694"/>
      <c r="EP51" s="694"/>
      <c r="EQ51" s="694"/>
      <c r="ER51" s="694"/>
      <c r="ES51" s="694"/>
      <c r="ET51" s="694"/>
      <c r="EU51" s="694"/>
      <c r="EV51" s="694"/>
      <c r="EW51" s="694"/>
      <c r="EX51" s="694"/>
      <c r="EY51" s="694"/>
      <c r="EZ51" s="694"/>
      <c r="FA51" s="694"/>
      <c r="FB51" s="694"/>
      <c r="FC51" s="694"/>
      <c r="FD51" s="694"/>
      <c r="FE51" s="694"/>
      <c r="FF51" s="694"/>
      <c r="FG51" s="694"/>
      <c r="FH51" s="694"/>
      <c r="FI51" s="694"/>
      <c r="FJ51" s="694"/>
      <c r="FK51" s="694"/>
      <c r="FL51" s="694"/>
      <c r="FM51" s="694"/>
      <c r="FN51" s="694"/>
      <c r="FO51" s="694"/>
      <c r="FP51" s="694"/>
      <c r="FQ51" s="694"/>
      <c r="FR51" s="694"/>
      <c r="FS51" s="694"/>
      <c r="FT51" s="694"/>
      <c r="FU51" s="694"/>
      <c r="FV51" s="694"/>
      <c r="FW51" s="694"/>
      <c r="FX51" s="694"/>
      <c r="FY51" s="694"/>
      <c r="FZ51" s="694"/>
      <c r="GA51" s="694"/>
      <c r="GB51" s="694"/>
      <c r="GC51" s="694"/>
      <c r="GD51" s="694"/>
      <c r="GE51" s="694"/>
      <c r="GF51" s="694"/>
      <c r="GG51" s="694"/>
      <c r="GH51" s="694"/>
      <c r="GI51" s="694"/>
      <c r="GJ51" s="694"/>
      <c r="GK51" s="694"/>
      <c r="GL51" s="694"/>
      <c r="GM51" s="694"/>
      <c r="GN51" s="694"/>
      <c r="GO51" s="694"/>
      <c r="GP51" s="694"/>
      <c r="GQ51" s="694"/>
      <c r="GR51" s="694"/>
      <c r="GS51" s="694"/>
      <c r="GT51" s="694"/>
      <c r="GU51" s="694"/>
      <c r="GV51" s="694"/>
      <c r="GW51" s="694"/>
      <c r="GX51" s="694"/>
      <c r="GY51" s="993"/>
      <c r="GZ51" s="694"/>
      <c r="HA51" s="694"/>
      <c r="HB51" s="694"/>
      <c r="HC51" s="993"/>
      <c r="HD51" s="993"/>
      <c r="HE51" s="993"/>
      <c r="HF51" s="993"/>
      <c r="HG51" s="993"/>
      <c r="HH51" s="993"/>
      <c r="HI51" s="993"/>
      <c r="HJ51" s="993"/>
      <c r="HK51" s="993"/>
      <c r="HL51" s="694"/>
      <c r="HM51" s="694"/>
      <c r="HN51" s="694"/>
      <c r="HO51" s="694"/>
      <c r="HP51" s="694"/>
      <c r="HQ51" s="694"/>
      <c r="HR51" s="694"/>
      <c r="HS51" s="694"/>
      <c r="HT51" s="694"/>
      <c r="HU51" s="694"/>
      <c r="HV51" s="694"/>
      <c r="HW51" s="694"/>
      <c r="HX51" s="694"/>
      <c r="HY51" s="694"/>
      <c r="HZ51" s="694"/>
      <c r="IA51" s="694"/>
      <c r="IB51" s="694"/>
      <c r="IC51" s="694"/>
      <c r="ID51" s="694"/>
      <c r="IE51" s="694"/>
      <c r="IF51" s="694"/>
      <c r="IG51" s="694"/>
      <c r="IH51" s="694"/>
      <c r="II51" s="694"/>
      <c r="IJ51" s="694"/>
      <c r="IK51" s="694"/>
      <c r="IL51" s="694"/>
      <c r="IM51" s="694"/>
      <c r="IN51" s="694"/>
      <c r="IO51" s="694"/>
      <c r="IP51" s="694"/>
      <c r="IQ51" s="694"/>
      <c r="IR51" s="694"/>
      <c r="IS51" s="694"/>
      <c r="IT51" s="694"/>
      <c r="IU51" s="694"/>
      <c r="IV51" s="694"/>
      <c r="IW51" s="694"/>
      <c r="IX51" s="694"/>
      <c r="IY51" s="694"/>
      <c r="IZ51" s="694"/>
      <c r="JA51" s="694"/>
      <c r="JB51" s="694"/>
      <c r="JC51" s="694"/>
      <c r="JD51" s="694"/>
      <c r="JE51" s="694"/>
      <c r="JF51" s="694"/>
      <c r="JG51" s="694"/>
      <c r="JH51" s="694"/>
      <c r="JI51" s="694"/>
      <c r="JJ51" s="694"/>
      <c r="JK51" s="694"/>
      <c r="JL51" s="694"/>
      <c r="JM51" s="694"/>
      <c r="JN51" s="694"/>
      <c r="JO51" s="694"/>
      <c r="JP51" s="694"/>
      <c r="JQ51" s="694"/>
      <c r="JR51" s="993"/>
      <c r="JS51" s="993"/>
      <c r="JT51" s="993"/>
      <c r="JU51" s="993"/>
      <c r="JV51" s="993"/>
      <c r="JW51" s="993"/>
      <c r="JX51" s="993"/>
      <c r="JY51" s="993"/>
      <c r="JZ51" s="993"/>
      <c r="KA51" s="993"/>
      <c r="KB51" s="993"/>
      <c r="KC51" s="993"/>
      <c r="NB51" s="1004"/>
      <c r="NC51" s="1004"/>
      <c r="ND51" s="1004"/>
      <c r="NE51" s="1004"/>
      <c r="NF51" s="1004"/>
      <c r="NG51" s="1004"/>
      <c r="NH51" s="1004"/>
      <c r="NI51" s="1004"/>
      <c r="NJ51" s="1004"/>
      <c r="NK51" s="1004"/>
      <c r="NL51" s="1004"/>
      <c r="NM51" s="1004"/>
      <c r="NN51" s="1004"/>
      <c r="NO51" s="1004"/>
      <c r="NP51" s="1004"/>
      <c r="NQ51" s="1004"/>
      <c r="NR51" s="1004"/>
      <c r="NS51" s="1004"/>
      <c r="NT51" s="1004"/>
      <c r="NU51" s="1004"/>
      <c r="NV51" s="1004"/>
      <c r="NW51" s="1004"/>
      <c r="NX51" s="1188"/>
      <c r="NY51" s="1188"/>
      <c r="NZ51" s="1188"/>
      <c r="OA51" s="1188"/>
      <c r="OB51" s="1188"/>
      <c r="OC51" s="1188"/>
      <c r="OD51" s="1188"/>
      <c r="OE51" s="1188"/>
      <c r="OF51" s="1188"/>
      <c r="OG51" s="1188"/>
      <c r="OH51" s="1188"/>
      <c r="OI51" s="1188"/>
      <c r="OJ51" s="1188"/>
      <c r="OK51" s="1188"/>
      <c r="OL51" s="1188"/>
      <c r="OM51" s="1188"/>
      <c r="ON51" s="1188"/>
      <c r="OO51" s="1188"/>
      <c r="OP51" s="992"/>
      <c r="OQ51" s="992"/>
      <c r="QH51" s="993"/>
      <c r="QI51" s="993"/>
      <c r="QJ51" s="993"/>
      <c r="QK51" s="993"/>
      <c r="QL51" s="993"/>
      <c r="QM51" s="993"/>
      <c r="QN51" s="993"/>
      <c r="QO51" s="993"/>
      <c r="QP51" s="993"/>
      <c r="QQ51" s="993"/>
      <c r="QR51" s="993"/>
      <c r="QS51" s="993"/>
      <c r="QT51" s="993"/>
      <c r="QU51" s="993"/>
      <c r="QV51" s="993"/>
      <c r="QW51" s="993"/>
      <c r="QX51" s="993"/>
      <c r="QY51" s="993"/>
      <c r="QZ51" s="694"/>
      <c r="RA51" s="694"/>
      <c r="RB51" s="694"/>
      <c r="RC51" s="694"/>
      <c r="RD51" s="694"/>
      <c r="RE51" s="694"/>
      <c r="RF51" s="694"/>
      <c r="RG51" s="694"/>
      <c r="RH51" s="694"/>
      <c r="RI51" s="694"/>
      <c r="RJ51" s="694"/>
      <c r="RK51" s="694"/>
      <c r="RL51" s="694"/>
      <c r="RM51" s="694"/>
      <c r="RN51" s="694"/>
      <c r="RO51" s="694"/>
      <c r="RP51" s="694"/>
      <c r="RQ51" s="694"/>
      <c r="RR51" s="694"/>
      <c r="RS51" s="694"/>
      <c r="RT51" s="694"/>
      <c r="RU51" s="694"/>
      <c r="RV51" s="694"/>
      <c r="RW51" s="694"/>
      <c r="RX51" s="694"/>
      <c r="RY51" s="694"/>
      <c r="RZ51" s="694"/>
      <c r="SA51" s="694"/>
      <c r="SB51" s="694"/>
      <c r="SC51" s="694"/>
      <c r="SD51" s="993"/>
      <c r="SE51" s="993"/>
      <c r="SF51" s="993"/>
      <c r="SG51" s="993"/>
      <c r="SH51" s="993"/>
      <c r="SI51" s="993"/>
      <c r="SJ51" s="993"/>
      <c r="SK51" s="993"/>
      <c r="SL51" s="993"/>
      <c r="SM51" s="993"/>
      <c r="SN51" s="993"/>
      <c r="SO51" s="993"/>
      <c r="SP51" s="993"/>
      <c r="SQ51" s="993"/>
      <c r="SR51" s="993"/>
      <c r="SS51" s="993"/>
      <c r="ST51" s="993"/>
      <c r="SU51" s="993"/>
      <c r="SV51" s="993"/>
      <c r="SW51" s="993"/>
      <c r="SX51" s="993"/>
      <c r="SY51" s="993"/>
      <c r="SZ51" s="993"/>
      <c r="TA51" s="993"/>
      <c r="TB51" s="993"/>
      <c r="TC51" s="993"/>
      <c r="TD51" s="993"/>
      <c r="TE51" s="993"/>
      <c r="TF51" s="993"/>
      <c r="TG51" s="993"/>
      <c r="TH51" s="993"/>
      <c r="TI51" s="993"/>
      <c r="TJ51" s="993"/>
      <c r="TK51" s="993"/>
      <c r="TL51" s="993"/>
      <c r="TM51" s="993"/>
      <c r="TN51" s="993"/>
      <c r="TO51" s="993"/>
      <c r="TP51" s="993"/>
      <c r="TQ51" s="993"/>
      <c r="TR51" s="993"/>
      <c r="TS51" s="993"/>
      <c r="TT51" s="993"/>
      <c r="TU51" s="993"/>
      <c r="TV51" s="993"/>
      <c r="TW51" s="993"/>
      <c r="TX51" s="993"/>
      <c r="TY51" s="993"/>
      <c r="TZ51" s="993"/>
      <c r="UA51" s="993"/>
      <c r="UB51" s="993"/>
      <c r="UC51" s="993"/>
      <c r="UD51" s="993"/>
      <c r="UE51" s="993"/>
      <c r="UF51" s="993"/>
      <c r="UG51" s="993"/>
      <c r="UH51" s="993"/>
      <c r="UI51" s="993"/>
      <c r="UJ51" s="993"/>
      <c r="UK51" s="993"/>
      <c r="UL51" s="993"/>
      <c r="UM51" s="993"/>
      <c r="UN51" s="993"/>
      <c r="UO51" s="993"/>
      <c r="UP51" s="993"/>
      <c r="UQ51" s="993"/>
      <c r="UR51" s="993"/>
      <c r="US51" s="993"/>
      <c r="UT51" s="993"/>
      <c r="UU51" s="993"/>
      <c r="UV51" s="993"/>
      <c r="UW51" s="993"/>
      <c r="UX51" s="993"/>
      <c r="UY51" s="993"/>
      <c r="UZ51" s="993"/>
      <c r="VA51" s="993"/>
      <c r="VB51" s="694"/>
      <c r="VC51" s="694"/>
      <c r="VD51" s="694"/>
      <c r="VE51" s="694"/>
      <c r="VF51" s="1185"/>
      <c r="VG51" s="1185"/>
      <c r="VH51" s="1185"/>
      <c r="VI51" s="1185"/>
      <c r="VJ51" s="1352">
        <f>VJ31-VJ52</f>
        <v>8086171651.9700012</v>
      </c>
      <c r="VK51" s="1353"/>
      <c r="VL51" s="1353"/>
      <c r="VM51" s="1352">
        <f>VM31-VM52</f>
        <v>4837117825.2900009</v>
      </c>
      <c r="VN51" s="694"/>
      <c r="VO51" s="694"/>
      <c r="VP51" s="694"/>
      <c r="VQ51" s="694"/>
      <c r="VR51" s="694"/>
      <c r="VS51" s="694"/>
      <c r="VT51" s="694"/>
      <c r="VU51" s="694"/>
      <c r="VV51" s="694"/>
      <c r="VW51" s="694"/>
      <c r="VX51" s="694"/>
      <c r="VY51" s="694"/>
      <c r="VZ51" s="1188"/>
      <c r="WA51" s="1188"/>
      <c r="WB51" s="1188"/>
      <c r="WC51" s="1188"/>
      <c r="WD51" s="1188"/>
      <c r="WE51" s="1188"/>
      <c r="WF51" s="1188"/>
      <c r="WG51" s="1188"/>
      <c r="WH51" s="1188"/>
      <c r="WI51" s="1188"/>
      <c r="WJ51" s="1188"/>
      <c r="WK51" s="1188"/>
      <c r="WL51" s="694"/>
      <c r="WM51" s="694"/>
      <c r="WN51" s="694"/>
      <c r="WO51" s="694"/>
      <c r="WP51" s="694"/>
      <c r="WQ51" s="694"/>
      <c r="WR51" s="1350">
        <f>WR31-WR52</f>
        <v>1160421132.3799999</v>
      </c>
      <c r="WS51" s="1350">
        <f>WS31-WS52</f>
        <v>450314898.07000005</v>
      </c>
      <c r="WT51" s="996"/>
      <c r="WU51" s="996"/>
      <c r="WV51" s="996"/>
      <c r="WW51" s="996"/>
      <c r="WX51" s="996"/>
      <c r="WY51" s="996"/>
      <c r="WZ51" s="996"/>
      <c r="XA51" s="996"/>
      <c r="XB51" s="996"/>
      <c r="XC51" s="1351"/>
      <c r="XD51" s="1351"/>
      <c r="XE51" s="1351"/>
      <c r="XF51" s="996"/>
      <c r="XG51" s="996"/>
      <c r="XH51" s="996"/>
      <c r="XI51" s="996"/>
      <c r="XJ51" s="996"/>
      <c r="XK51" s="996"/>
      <c r="XL51" s="1004"/>
      <c r="XM51" s="1004"/>
      <c r="XN51" s="1004"/>
      <c r="XO51" s="1004"/>
      <c r="XP51" s="1004"/>
      <c r="XQ51" s="1004"/>
      <c r="XR51" s="1004"/>
      <c r="XS51" s="1004"/>
      <c r="XT51" s="1004"/>
      <c r="XU51" s="1004"/>
      <c r="XV51" s="1004"/>
      <c r="XW51" s="1004"/>
      <c r="XX51" s="1004"/>
      <c r="XY51" s="1004"/>
      <c r="XZ51" s="1004"/>
      <c r="YA51" s="1004"/>
      <c r="YB51" s="1004"/>
      <c r="YC51" s="1004"/>
      <c r="YD51" s="1004"/>
      <c r="YE51" s="1004"/>
      <c r="YF51" s="1004"/>
      <c r="YG51" s="1004"/>
      <c r="YH51" s="1004"/>
      <c r="YI51" s="1004"/>
      <c r="YJ51" s="1004"/>
      <c r="YK51" s="1004"/>
      <c r="YL51" s="1004"/>
      <c r="YM51" s="1004"/>
      <c r="YN51" s="1004"/>
      <c r="YO51" s="1004"/>
      <c r="YP51" s="1004"/>
      <c r="YQ51" s="1004"/>
      <c r="YR51" s="1004"/>
      <c r="YS51" s="1004"/>
      <c r="YT51" s="1004"/>
      <c r="YU51" s="1004"/>
      <c r="YV51" s="1004"/>
      <c r="YW51" s="1004"/>
      <c r="YX51" s="1004"/>
      <c r="YY51" s="1004"/>
      <c r="YZ51" s="1004"/>
      <c r="ZA51" s="1004"/>
      <c r="ZB51" s="1004"/>
      <c r="ZC51" s="1004"/>
      <c r="ZD51" s="1004"/>
      <c r="ZE51" s="1004"/>
      <c r="ZF51" s="1004"/>
      <c r="ZG51" s="1004"/>
      <c r="ZH51" s="1004"/>
      <c r="ZI51" s="1004"/>
      <c r="ZJ51" s="1004"/>
      <c r="ZK51" s="1004"/>
      <c r="ZL51" s="1004"/>
      <c r="ZM51" s="1004"/>
      <c r="ZN51" s="1004"/>
      <c r="ZO51" s="1004"/>
      <c r="ZP51" s="1004"/>
      <c r="ZQ51" s="1004"/>
      <c r="ZR51" s="1004"/>
      <c r="ZS51" s="1004"/>
      <c r="ZT51" s="1004"/>
      <c r="ZU51" s="1004"/>
      <c r="ZV51" s="1004"/>
      <c r="ZW51" s="1004"/>
      <c r="ZX51" s="1004"/>
      <c r="ZY51" s="1004"/>
      <c r="ZZ51" s="1004"/>
      <c r="AAA51" s="1004"/>
      <c r="AAB51" s="1004"/>
      <c r="AAC51" s="1004"/>
      <c r="AAD51" s="993"/>
      <c r="AAE51" s="993"/>
      <c r="AAF51" s="994"/>
      <c r="AAG51" s="994"/>
      <c r="AAH51" s="694"/>
      <c r="AAI51" s="694"/>
      <c r="AAJ51" s="694"/>
      <c r="AAK51" s="694"/>
      <c r="AAL51" s="694"/>
      <c r="AAM51" s="694"/>
      <c r="AAN51" s="994"/>
      <c r="AAO51" s="994"/>
      <c r="AAP51" s="694"/>
      <c r="AAQ51" s="694"/>
      <c r="AAR51" s="694"/>
      <c r="AAS51" s="694"/>
      <c r="AAT51" s="694"/>
      <c r="AAU51" s="694"/>
      <c r="AAV51" s="694"/>
      <c r="AAW51" s="694"/>
    </row>
    <row r="52" spans="1:725" ht="16.5" x14ac:dyDescent="0.25">
      <c r="A52" s="1199" t="s">
        <v>817</v>
      </c>
      <c r="B52" s="1349">
        <f>D52+AN52+'Проверочная  таблица'!VJ52+'Проверочная  таблица'!WR52</f>
        <v>3924607443.3500004</v>
      </c>
      <c r="C52" s="1349">
        <f>E52+'Проверочная  таблица'!VM52+AO52+'Проверочная  таблица'!WS52</f>
        <v>1371795315.5400002</v>
      </c>
      <c r="D52" s="1352">
        <f>P31+AD31+H38</f>
        <v>1754022222.54</v>
      </c>
      <c r="E52" s="1352">
        <f>Q31+AG31+I38</f>
        <v>783168581.42000008</v>
      </c>
      <c r="F52" s="694"/>
      <c r="G52" s="694"/>
      <c r="H52" s="694"/>
      <c r="I52" s="694"/>
      <c r="J52" s="694"/>
      <c r="K52" s="694"/>
      <c r="L52" s="694"/>
      <c r="M52" s="694"/>
      <c r="N52" s="694"/>
      <c r="O52" s="694"/>
      <c r="P52" s="694"/>
      <c r="Q52" s="694"/>
      <c r="R52" s="694"/>
      <c r="S52" s="694"/>
      <c r="T52" s="694"/>
      <c r="U52" s="694"/>
      <c r="V52" s="1185"/>
      <c r="W52" s="1185"/>
      <c r="X52" s="1185"/>
      <c r="Y52" s="1185"/>
      <c r="Z52" s="694"/>
      <c r="AA52" s="694"/>
      <c r="AB52" s="694"/>
      <c r="AC52" s="694"/>
      <c r="AD52" s="1185"/>
      <c r="AE52" s="1185"/>
      <c r="AF52" s="1185"/>
      <c r="AG52" s="694"/>
      <c r="AH52" s="1185"/>
      <c r="AI52" s="1185"/>
      <c r="AJ52" s="1185"/>
      <c r="AK52" s="1185"/>
      <c r="AL52" s="1185"/>
      <c r="AM52" s="1199" t="s">
        <v>817</v>
      </c>
      <c r="AN52" s="1352">
        <f>'Проверочная  таблица'!VD38+BV38+CJ38+BL38+'Проверочная  таблица'!OZ38+'Проверочная  таблица'!JX38+'Проверочная  таблица'!NR38+AV38+FH38+DJ38+QH38+TL38+MD38+KZ38+RL38+HX38+HD38+GL38+IV38</f>
        <v>1495054773.3800001</v>
      </c>
      <c r="AO52" s="1352">
        <f>'Проверочная  таблица'!VE38+BW38+CK38+BN38+'Проверочная  таблица'!PD38+'Проверочная  таблица'!KA38+'Проверочная  таблица'!NU38+AX38+FK38+DM38+QK38+TS38+MH38+LE38+RO38+IA38+HF38+GO38+IY38</f>
        <v>474671841.72999996</v>
      </c>
      <c r="AP52" s="993"/>
      <c r="AQ52" s="993"/>
      <c r="AR52" s="993"/>
      <c r="AS52" s="993"/>
      <c r="AT52" s="993"/>
      <c r="AU52" s="993"/>
      <c r="AV52" s="993"/>
      <c r="AW52" s="993"/>
      <c r="AX52" s="993"/>
      <c r="AY52" s="993"/>
      <c r="AZ52" s="993"/>
      <c r="BA52" s="993"/>
      <c r="BB52" s="993"/>
      <c r="BC52" s="993"/>
      <c r="BD52" s="993"/>
      <c r="BE52" s="993"/>
      <c r="BF52" s="993"/>
      <c r="BG52" s="993"/>
      <c r="BH52" s="993"/>
      <c r="BI52" s="993"/>
      <c r="BJ52" s="993"/>
      <c r="BK52" s="993"/>
      <c r="BL52" s="993"/>
      <c r="BM52" s="993"/>
      <c r="BN52" s="993"/>
      <c r="BO52" s="993"/>
      <c r="BP52" s="993"/>
      <c r="BQ52" s="993"/>
      <c r="BR52" s="993"/>
      <c r="BS52" s="993"/>
      <c r="BT52" s="694"/>
      <c r="BU52" s="694"/>
      <c r="BV52" s="694"/>
      <c r="BW52" s="694"/>
      <c r="BX52" s="694"/>
      <c r="BY52" s="694"/>
      <c r="BZ52" s="694"/>
      <c r="CA52" s="694"/>
      <c r="CB52" s="694"/>
      <c r="CC52" s="694"/>
      <c r="CD52" s="694"/>
      <c r="CE52" s="694"/>
      <c r="CF52" s="694"/>
      <c r="CG52" s="694"/>
      <c r="CH52" s="694"/>
      <c r="CI52" s="694"/>
      <c r="CJ52" s="694"/>
      <c r="CK52" s="694"/>
      <c r="CL52" s="694"/>
      <c r="CM52" s="694"/>
      <c r="CN52" s="694"/>
      <c r="CO52" s="694"/>
      <c r="CP52" s="694"/>
      <c r="CQ52" s="694"/>
      <c r="CR52" s="694"/>
      <c r="CS52" s="694"/>
      <c r="CT52" s="694"/>
      <c r="CU52" s="694"/>
      <c r="CV52" s="694"/>
      <c r="CW52" s="694"/>
      <c r="CX52" s="694"/>
      <c r="CY52" s="694"/>
      <c r="CZ52" s="694"/>
      <c r="DA52" s="694"/>
      <c r="DB52" s="694"/>
      <c r="DC52" s="694"/>
      <c r="DD52" s="694"/>
      <c r="DE52" s="694"/>
      <c r="DF52" s="694"/>
      <c r="DG52" s="694"/>
      <c r="DH52" s="694"/>
      <c r="DI52" s="694"/>
      <c r="DJ52" s="694"/>
      <c r="DK52" s="694"/>
      <c r="DL52" s="694"/>
      <c r="DM52" s="694"/>
      <c r="DN52" s="694"/>
      <c r="DO52" s="694"/>
      <c r="DP52" s="694"/>
      <c r="DQ52" s="694"/>
      <c r="DR52" s="694"/>
      <c r="DS52" s="694"/>
      <c r="DT52" s="694"/>
      <c r="DU52" s="694"/>
      <c r="DV52" s="694"/>
      <c r="DW52" s="694"/>
      <c r="DX52" s="694"/>
      <c r="DY52" s="694"/>
      <c r="DZ52" s="694"/>
      <c r="EA52" s="694"/>
      <c r="EB52" s="694"/>
      <c r="EC52" s="694"/>
      <c r="ED52" s="694"/>
      <c r="EE52" s="694"/>
      <c r="EF52" s="694"/>
      <c r="EG52" s="694"/>
      <c r="EH52" s="993"/>
      <c r="EI52" s="993"/>
      <c r="EJ52" s="993"/>
      <c r="EK52" s="993"/>
      <c r="EL52" s="993"/>
      <c r="EM52" s="993"/>
      <c r="EN52" s="694"/>
      <c r="EO52" s="694"/>
      <c r="EP52" s="694"/>
      <c r="EQ52" s="694"/>
      <c r="ER52" s="694"/>
      <c r="ES52" s="694"/>
      <c r="ET52" s="694"/>
      <c r="EU52" s="694"/>
      <c r="EV52" s="694"/>
      <c r="EW52" s="694"/>
      <c r="EX52" s="694"/>
      <c r="EY52" s="694"/>
      <c r="EZ52" s="694"/>
      <c r="FA52" s="694"/>
      <c r="FB52" s="694"/>
      <c r="FC52" s="694"/>
      <c r="FD52" s="694"/>
      <c r="FE52" s="694"/>
      <c r="FF52" s="694"/>
      <c r="FG52" s="694"/>
      <c r="FH52" s="694"/>
      <c r="FI52" s="694"/>
      <c r="FJ52" s="694"/>
      <c r="FK52" s="694"/>
      <c r="FL52" s="694"/>
      <c r="FM52" s="694"/>
      <c r="FN52" s="694"/>
      <c r="FO52" s="694"/>
      <c r="FP52" s="694"/>
      <c r="FQ52" s="694"/>
      <c r="FR52" s="694"/>
      <c r="FS52" s="694"/>
      <c r="FT52" s="694"/>
      <c r="FU52" s="694"/>
      <c r="FV52" s="694"/>
      <c r="FW52" s="694"/>
      <c r="FX52" s="694"/>
      <c r="FY52" s="694"/>
      <c r="FZ52" s="694"/>
      <c r="GA52" s="694"/>
      <c r="GB52" s="694"/>
      <c r="GC52" s="694"/>
      <c r="GD52" s="694"/>
      <c r="GE52" s="694"/>
      <c r="GF52" s="694"/>
      <c r="GG52" s="694"/>
      <c r="GH52" s="694"/>
      <c r="GI52" s="694"/>
      <c r="GJ52" s="694"/>
      <c r="GK52" s="694"/>
      <c r="GL52" s="694"/>
      <c r="GM52" s="694"/>
      <c r="GN52" s="694"/>
      <c r="GO52" s="694"/>
      <c r="GP52" s="694"/>
      <c r="GQ52" s="694"/>
      <c r="GR52" s="694"/>
      <c r="GS52" s="694"/>
      <c r="GT52" s="694"/>
      <c r="GU52" s="694"/>
      <c r="GV52" s="694"/>
      <c r="GW52" s="694"/>
      <c r="GX52" s="694"/>
      <c r="GY52" s="993"/>
      <c r="GZ52" s="694"/>
      <c r="HA52" s="694"/>
      <c r="HB52" s="694"/>
      <c r="HC52" s="993"/>
      <c r="HD52" s="993"/>
      <c r="HE52" s="993"/>
      <c r="HF52" s="993"/>
      <c r="HG52" s="993"/>
      <c r="HH52" s="993"/>
      <c r="HI52" s="993"/>
      <c r="HJ52" s="993"/>
      <c r="HK52" s="993"/>
      <c r="HL52" s="694"/>
      <c r="HM52" s="694"/>
      <c r="HN52" s="694"/>
      <c r="HO52" s="694"/>
      <c r="HP52" s="694"/>
      <c r="HQ52" s="694"/>
      <c r="HR52" s="694"/>
      <c r="HS52" s="694"/>
      <c r="HT52" s="694"/>
      <c r="HU52" s="694"/>
      <c r="HV52" s="694"/>
      <c r="HW52" s="694"/>
      <c r="HX52" s="694"/>
      <c r="HY52" s="694"/>
      <c r="HZ52" s="694"/>
      <c r="IA52" s="694"/>
      <c r="IB52" s="694"/>
      <c r="IC52" s="694"/>
      <c r="ID52" s="694"/>
      <c r="IE52" s="694"/>
      <c r="IF52" s="694"/>
      <c r="IG52" s="694"/>
      <c r="IH52" s="694"/>
      <c r="II52" s="694"/>
      <c r="IJ52" s="694"/>
      <c r="IK52" s="694"/>
      <c r="IL52" s="694"/>
      <c r="IM52" s="694"/>
      <c r="IN52" s="694"/>
      <c r="IO52" s="694"/>
      <c r="IP52" s="694"/>
      <c r="IQ52" s="694"/>
      <c r="IR52" s="694"/>
      <c r="IS52" s="694"/>
      <c r="IT52" s="694"/>
      <c r="IU52" s="694"/>
      <c r="IV52" s="694"/>
      <c r="IW52" s="694"/>
      <c r="IX52" s="694"/>
      <c r="IY52" s="694"/>
      <c r="IZ52" s="694"/>
      <c r="JA52" s="694"/>
      <c r="JB52" s="694"/>
      <c r="JC52" s="694"/>
      <c r="JD52" s="694"/>
      <c r="JE52" s="694"/>
      <c r="JF52" s="694"/>
      <c r="JG52" s="694"/>
      <c r="JH52" s="694"/>
      <c r="JI52" s="694"/>
      <c r="JJ52" s="694"/>
      <c r="JK52" s="694"/>
      <c r="JL52" s="694"/>
      <c r="JM52" s="694"/>
      <c r="JN52" s="694"/>
      <c r="JO52" s="694"/>
      <c r="JP52" s="694"/>
      <c r="JQ52" s="694"/>
      <c r="JR52" s="993"/>
      <c r="JS52" s="993"/>
      <c r="JT52" s="993"/>
      <c r="JU52" s="993"/>
      <c r="JV52" s="993"/>
      <c r="JW52" s="993"/>
      <c r="JX52" s="993"/>
      <c r="JY52" s="993"/>
      <c r="JZ52" s="993"/>
      <c r="KA52" s="993"/>
      <c r="KB52" s="993"/>
      <c r="KC52" s="993"/>
      <c r="NB52" s="1185"/>
      <c r="NC52" s="1185"/>
      <c r="ND52" s="1185"/>
      <c r="NE52" s="1185"/>
      <c r="NF52" s="1185"/>
      <c r="NG52" s="1185"/>
      <c r="NH52" s="1185"/>
      <c r="NI52" s="1185"/>
      <c r="NJ52" s="1185"/>
      <c r="NK52" s="1185"/>
      <c r="NL52" s="1185"/>
      <c r="NM52" s="1185"/>
      <c r="NN52" s="1185"/>
      <c r="NO52" s="1185"/>
      <c r="NP52" s="1185"/>
      <c r="NQ52" s="1185"/>
      <c r="NR52" s="1185"/>
      <c r="NS52" s="1185"/>
      <c r="NT52" s="1185"/>
      <c r="NU52" s="1185"/>
      <c r="NV52" s="1185"/>
      <c r="NW52" s="1185"/>
      <c r="NX52" s="1188"/>
      <c r="NY52" s="1188"/>
      <c r="NZ52" s="1188"/>
      <c r="OA52" s="1188"/>
      <c r="OB52" s="1188"/>
      <c r="OC52" s="1188"/>
      <c r="OD52" s="1188"/>
      <c r="OE52" s="1188"/>
      <c r="OF52" s="1188"/>
      <c r="OG52" s="1188"/>
      <c r="OH52" s="1188"/>
      <c r="OI52" s="1188"/>
      <c r="OJ52" s="1188"/>
      <c r="OK52" s="1188"/>
      <c r="OL52" s="1188"/>
      <c r="OM52" s="1188"/>
      <c r="ON52" s="1188"/>
      <c r="OO52" s="1188"/>
      <c r="OP52" s="992"/>
      <c r="OQ52" s="992"/>
      <c r="QH52" s="993"/>
      <c r="QI52" s="993"/>
      <c r="QJ52" s="993"/>
      <c r="QK52" s="993"/>
      <c r="QL52" s="993"/>
      <c r="QM52" s="993"/>
      <c r="QN52" s="993"/>
      <c r="QO52" s="993"/>
      <c r="QP52" s="993"/>
      <c r="QQ52" s="993"/>
      <c r="QR52" s="993"/>
      <c r="QS52" s="993"/>
      <c r="QT52" s="993"/>
      <c r="QU52" s="993"/>
      <c r="QV52" s="993"/>
      <c r="QW52" s="993"/>
      <c r="QX52" s="993"/>
      <c r="QY52" s="993"/>
      <c r="QZ52" s="694"/>
      <c r="RA52" s="694"/>
      <c r="RB52" s="694"/>
      <c r="RC52" s="694"/>
      <c r="RD52" s="694"/>
      <c r="RE52" s="694"/>
      <c r="RF52" s="694"/>
      <c r="RG52" s="694"/>
      <c r="RH52" s="694"/>
      <c r="RI52" s="694"/>
      <c r="RJ52" s="694"/>
      <c r="RK52" s="694"/>
      <c r="RL52" s="694"/>
      <c r="RM52" s="694"/>
      <c r="RN52" s="694"/>
      <c r="RO52" s="694"/>
      <c r="RP52" s="694"/>
      <c r="RQ52" s="694"/>
      <c r="RR52" s="694"/>
      <c r="RS52" s="694"/>
      <c r="RT52" s="694"/>
      <c r="RU52" s="694"/>
      <c r="RV52" s="694"/>
      <c r="RW52" s="694"/>
      <c r="RX52" s="694"/>
      <c r="RY52" s="694"/>
      <c r="RZ52" s="694"/>
      <c r="SA52" s="694"/>
      <c r="SB52" s="694"/>
      <c r="SC52" s="694"/>
      <c r="SD52" s="993"/>
      <c r="SE52" s="993"/>
      <c r="SF52" s="993"/>
      <c r="SG52" s="993"/>
      <c r="SH52" s="993"/>
      <c r="SI52" s="993"/>
      <c r="SJ52" s="993"/>
      <c r="SK52" s="993"/>
      <c r="SL52" s="993"/>
      <c r="SM52" s="993"/>
      <c r="SN52" s="993"/>
      <c r="SO52" s="993"/>
      <c r="SP52" s="993"/>
      <c r="SQ52" s="993"/>
      <c r="SR52" s="993"/>
      <c r="SS52" s="993"/>
      <c r="ST52" s="993"/>
      <c r="SU52" s="993"/>
      <c r="SV52" s="993"/>
      <c r="SW52" s="993"/>
      <c r="SX52" s="993"/>
      <c r="SY52" s="993"/>
      <c r="SZ52" s="993"/>
      <c r="TA52" s="993"/>
      <c r="TB52" s="993"/>
      <c r="TC52" s="993"/>
      <c r="TD52" s="993"/>
      <c r="TE52" s="993"/>
      <c r="TF52" s="993"/>
      <c r="TG52" s="993"/>
      <c r="TH52" s="993"/>
      <c r="TI52" s="993"/>
      <c r="TJ52" s="993"/>
      <c r="TK52" s="993"/>
      <c r="TL52" s="993"/>
      <c r="TM52" s="993"/>
      <c r="TN52" s="993"/>
      <c r="TO52" s="993"/>
      <c r="TP52" s="993"/>
      <c r="TQ52" s="993"/>
      <c r="TR52" s="993"/>
      <c r="TS52" s="993"/>
      <c r="TT52" s="993"/>
      <c r="TU52" s="993"/>
      <c r="TV52" s="993"/>
      <c r="TW52" s="993"/>
      <c r="TX52" s="993"/>
      <c r="TY52" s="993"/>
      <c r="TZ52" s="993"/>
      <c r="UA52" s="993"/>
      <c r="UB52" s="993"/>
      <c r="UC52" s="993"/>
      <c r="UD52" s="993"/>
      <c r="UE52" s="993"/>
      <c r="UF52" s="993"/>
      <c r="UG52" s="993"/>
      <c r="UH52" s="993"/>
      <c r="UI52" s="993"/>
      <c r="UJ52" s="993"/>
      <c r="UK52" s="993"/>
      <c r="UL52" s="993"/>
      <c r="UM52" s="993"/>
      <c r="UN52" s="993"/>
      <c r="UO52" s="993"/>
      <c r="UP52" s="993"/>
      <c r="UQ52" s="993"/>
      <c r="UR52" s="993"/>
      <c r="US52" s="993"/>
      <c r="UT52" s="993"/>
      <c r="UU52" s="993"/>
      <c r="UV52" s="993"/>
      <c r="UW52" s="993"/>
      <c r="UX52" s="993"/>
      <c r="UY52" s="993"/>
      <c r="UZ52" s="993"/>
      <c r="VA52" s="993"/>
      <c r="VB52" s="694"/>
      <c r="VC52" s="694"/>
      <c r="VD52" s="694"/>
      <c r="VE52" s="694"/>
      <c r="VF52" s="1185"/>
      <c r="VG52" s="1185"/>
      <c r="VH52" s="1185"/>
      <c r="VI52" s="1185"/>
      <c r="VJ52" s="1352">
        <f>'Проверочная  таблица'!VV31</f>
        <v>36969300</v>
      </c>
      <c r="VK52" s="1353"/>
      <c r="VL52" s="1353"/>
      <c r="VM52" s="1352">
        <f>'Проверочная  таблица'!VW31</f>
        <v>14961629.73</v>
      </c>
      <c r="VN52" s="694"/>
      <c r="VO52" s="694"/>
      <c r="VP52" s="694"/>
      <c r="VQ52" s="694"/>
      <c r="VR52" s="694"/>
      <c r="VS52" s="694"/>
      <c r="VT52" s="694"/>
      <c r="VU52" s="694"/>
      <c r="VV52" s="694"/>
      <c r="VW52" s="694"/>
      <c r="VX52" s="694"/>
      <c r="VY52" s="694"/>
      <c r="VZ52" s="694"/>
      <c r="WA52" s="694"/>
      <c r="WB52" s="694"/>
      <c r="WC52" s="694"/>
      <c r="WD52" s="694"/>
      <c r="WE52" s="694"/>
      <c r="WF52" s="694"/>
      <c r="WG52" s="694"/>
      <c r="WH52" s="694"/>
      <c r="WI52" s="694"/>
      <c r="WJ52" s="694"/>
      <c r="WK52" s="694"/>
      <c r="WL52" s="694"/>
      <c r="WM52" s="694"/>
      <c r="WN52" s="694"/>
      <c r="WO52" s="694"/>
      <c r="WP52" s="694"/>
      <c r="WQ52" s="694"/>
      <c r="WR52" s="1350">
        <f>YT38+XP38</f>
        <v>638561147.43000007</v>
      </c>
      <c r="WS52" s="1350">
        <f>YZ38+XR38</f>
        <v>98993262.659999996</v>
      </c>
      <c r="WT52" s="993"/>
      <c r="WU52" s="993"/>
      <c r="WV52" s="993"/>
      <c r="WW52" s="993"/>
      <c r="WX52" s="993"/>
      <c r="WY52" s="993"/>
      <c r="WZ52" s="996"/>
      <c r="XA52" s="996"/>
      <c r="XB52" s="996"/>
      <c r="XC52" s="1351"/>
      <c r="XD52" s="1351"/>
      <c r="XE52" s="1351"/>
      <c r="XF52" s="996"/>
      <c r="XG52" s="996"/>
      <c r="XH52" s="996"/>
      <c r="XI52" s="996"/>
      <c r="XJ52" s="996"/>
      <c r="XK52" s="996"/>
      <c r="XL52" s="996"/>
      <c r="XM52" s="996"/>
      <c r="XN52" s="996"/>
      <c r="XO52" s="996"/>
      <c r="XP52" s="996"/>
      <c r="XQ52" s="996"/>
      <c r="XR52" s="996"/>
      <c r="XS52" s="996"/>
      <c r="XT52" s="996"/>
      <c r="XU52" s="996"/>
      <c r="XV52" s="996"/>
      <c r="XW52" s="996"/>
      <c r="XX52" s="1185"/>
      <c r="XY52" s="1185"/>
      <c r="XZ52" s="1185"/>
      <c r="YA52" s="1185"/>
      <c r="YB52" s="1185"/>
      <c r="YC52" s="1185"/>
      <c r="YD52" s="1185"/>
      <c r="YE52" s="1185"/>
      <c r="YF52" s="1185"/>
      <c r="YG52" s="1185"/>
      <c r="YH52" s="1185"/>
      <c r="YI52" s="1185"/>
      <c r="YJ52" s="1185"/>
      <c r="YK52" s="1185"/>
      <c r="YL52" s="1185"/>
      <c r="YM52" s="1185"/>
      <c r="YN52" s="1185"/>
      <c r="YO52" s="1185"/>
      <c r="YP52" s="1185"/>
      <c r="YQ52" s="1185"/>
      <c r="YR52" s="1185"/>
      <c r="YS52" s="1185"/>
      <c r="YT52" s="1185"/>
      <c r="YU52" s="1185"/>
      <c r="YV52" s="1185"/>
      <c r="YW52" s="1185"/>
      <c r="YX52" s="1185"/>
      <c r="YY52" s="1185"/>
      <c r="YZ52" s="1185"/>
      <c r="ZA52" s="1185"/>
      <c r="ZB52" s="1185"/>
      <c r="ZC52" s="1185"/>
      <c r="ZD52" s="1185"/>
      <c r="ZE52" s="1185"/>
      <c r="ZF52" s="1185"/>
      <c r="ZG52" s="1185"/>
      <c r="ZH52" s="1185"/>
      <c r="ZI52" s="1185"/>
      <c r="ZJ52" s="1185"/>
      <c r="ZK52" s="1185"/>
      <c r="ZL52" s="1185"/>
      <c r="ZM52" s="1185"/>
      <c r="ZN52" s="1185"/>
      <c r="ZO52" s="1185"/>
      <c r="ZP52" s="1185"/>
      <c r="ZQ52" s="1185"/>
      <c r="ZR52" s="1185"/>
      <c r="ZS52" s="1185"/>
      <c r="ZT52" s="1185"/>
      <c r="ZU52" s="1185"/>
      <c r="ZV52" s="1185"/>
      <c r="ZW52" s="1185"/>
      <c r="ZX52" s="1185"/>
      <c r="ZY52" s="1185"/>
      <c r="ZZ52" s="1185"/>
      <c r="AAA52" s="1185"/>
      <c r="AAB52" s="1185"/>
      <c r="AAC52" s="1185"/>
      <c r="AAD52" s="1185"/>
      <c r="AAE52" s="1185"/>
      <c r="AAF52" s="1185"/>
      <c r="AAG52" s="1185"/>
      <c r="AAH52" s="1185"/>
      <c r="AAI52" s="1185"/>
      <c r="AAJ52" s="1185"/>
      <c r="AAK52" s="1185"/>
      <c r="AAL52" s="1185"/>
      <c r="AAM52" s="1185"/>
      <c r="AAN52" s="1185"/>
      <c r="AAO52" s="1185"/>
      <c r="AAP52" s="1185"/>
      <c r="AAQ52" s="1185"/>
      <c r="AAR52" s="1185"/>
      <c r="AAS52" s="1185"/>
      <c r="AAT52" s="1185"/>
      <c r="AAU52" s="1185"/>
      <c r="AAV52" s="1185"/>
      <c r="AAW52" s="1185"/>
    </row>
    <row r="53" spans="1:725" ht="16.5" x14ac:dyDescent="0.25">
      <c r="A53" s="1199" t="s">
        <v>267</v>
      </c>
      <c r="B53" s="1349">
        <f>D53+AN53+'Проверочная  таблица'!VJ53+'Проверочная  таблица'!WR53</f>
        <v>2125260068.8400002</v>
      </c>
      <c r="C53" s="1349">
        <f>E53+'Проверочная  таблица'!VM53+AO53+'Проверочная  таблица'!WS53</f>
        <v>737501420.3499999</v>
      </c>
      <c r="D53" s="1352">
        <f>L38+T38+AL38</f>
        <v>701362055.46000004</v>
      </c>
      <c r="E53" s="1352">
        <f>M38+U38+AM38</f>
        <v>279914638</v>
      </c>
      <c r="F53" s="694"/>
      <c r="G53" s="694"/>
      <c r="H53" s="694"/>
      <c r="I53" s="694"/>
      <c r="J53" s="694"/>
      <c r="K53" s="694"/>
      <c r="L53" s="694"/>
      <c r="M53" s="694"/>
      <c r="N53" s="694"/>
      <c r="O53" s="694"/>
      <c r="P53" s="694"/>
      <c r="Q53" s="694"/>
      <c r="R53" s="694"/>
      <c r="S53" s="694"/>
      <c r="T53" s="694"/>
      <c r="U53" s="694"/>
      <c r="V53" s="1185"/>
      <c r="W53" s="1185"/>
      <c r="X53" s="1185"/>
      <c r="Y53" s="1185"/>
      <c r="Z53" s="694"/>
      <c r="AA53" s="694"/>
      <c r="AB53" s="694"/>
      <c r="AC53" s="694"/>
      <c r="AD53" s="1185"/>
      <c r="AE53" s="1185"/>
      <c r="AF53" s="1185"/>
      <c r="AG53" s="694"/>
      <c r="AH53" s="1185"/>
      <c r="AI53" s="1185"/>
      <c r="AJ53" s="1185"/>
      <c r="AK53" s="1185"/>
      <c r="AL53" s="1185"/>
      <c r="AM53" s="1199" t="s">
        <v>267</v>
      </c>
      <c r="AN53" s="1352">
        <f>BZ38+CN38+BR38+'Проверочная  таблица'!VH38+'Проверочная  таблица'!PP38+'Проверочная  таблица'!KJ38+'Проверочная  таблица'!OD38+BD38+FT38+DR38+QT38+UN38+MT38+LP38+RX38+IJ38+HJ38+GT38+JD38</f>
        <v>1117805613</v>
      </c>
      <c r="AO53" s="1352">
        <f>CA38+CO38+BS38+'Проверочная  таблица'!VI38+'Проверочная  таблица'!PT38+'Проверочная  таблица'!KM38+'Проверочная  таблица'!OG38+BF38+FW38+DS38+QW38+UU38+MX38+LS38+SA38+IM38+HK38+GU38+JE38</f>
        <v>389692311.44999993</v>
      </c>
      <c r="AP53" s="993"/>
      <c r="AQ53" s="993"/>
      <c r="AR53" s="993"/>
      <c r="AS53" s="993"/>
      <c r="AT53" s="993"/>
      <c r="AU53" s="993"/>
      <c r="AV53" s="993"/>
      <c r="AW53" s="993"/>
      <c r="AX53" s="993"/>
      <c r="AY53" s="993"/>
      <c r="AZ53" s="993"/>
      <c r="BA53" s="993"/>
      <c r="BB53" s="993"/>
      <c r="BC53" s="993"/>
      <c r="BD53" s="993"/>
      <c r="BE53" s="993"/>
      <c r="BF53" s="993"/>
      <c r="BG53" s="993"/>
      <c r="BH53" s="993"/>
      <c r="BI53" s="993"/>
      <c r="BJ53" s="993"/>
      <c r="BK53" s="993"/>
      <c r="BL53" s="993"/>
      <c r="BM53" s="993"/>
      <c r="BN53" s="993"/>
      <c r="BO53" s="993"/>
      <c r="BP53" s="993"/>
      <c r="BQ53" s="993"/>
      <c r="BR53" s="993"/>
      <c r="BS53" s="993"/>
      <c r="BT53" s="694"/>
      <c r="BU53" s="694"/>
      <c r="BV53" s="694"/>
      <c r="BW53" s="694"/>
      <c r="BX53" s="694"/>
      <c r="BY53" s="694"/>
      <c r="BZ53" s="694"/>
      <c r="CA53" s="694"/>
      <c r="CB53" s="694"/>
      <c r="CC53" s="694"/>
      <c r="CD53" s="694"/>
      <c r="CE53" s="694"/>
      <c r="CF53" s="694"/>
      <c r="CG53" s="694"/>
      <c r="CH53" s="694"/>
      <c r="CI53" s="694"/>
      <c r="CJ53" s="694"/>
      <c r="CK53" s="694"/>
      <c r="CL53" s="694"/>
      <c r="CM53" s="694"/>
      <c r="CN53" s="694"/>
      <c r="CO53" s="694"/>
      <c r="CP53" s="694"/>
      <c r="CQ53" s="694"/>
      <c r="CR53" s="694"/>
      <c r="CS53" s="694"/>
      <c r="CT53" s="694"/>
      <c r="CU53" s="694"/>
      <c r="CV53" s="694"/>
      <c r="CW53" s="694"/>
      <c r="CX53" s="694"/>
      <c r="CY53" s="694"/>
      <c r="CZ53" s="694"/>
      <c r="DA53" s="694"/>
      <c r="DB53" s="694"/>
      <c r="DC53" s="694"/>
      <c r="DD53" s="694"/>
      <c r="DE53" s="694"/>
      <c r="DF53" s="694"/>
      <c r="DG53" s="694"/>
      <c r="DH53" s="694"/>
      <c r="DI53" s="694"/>
      <c r="DJ53" s="694"/>
      <c r="DK53" s="694"/>
      <c r="DL53" s="694"/>
      <c r="DM53" s="694"/>
      <c r="DN53" s="694"/>
      <c r="DO53" s="694"/>
      <c r="DP53" s="694"/>
      <c r="DQ53" s="694"/>
      <c r="DR53" s="694"/>
      <c r="DS53" s="694"/>
      <c r="DT53" s="694"/>
      <c r="DU53" s="694"/>
      <c r="DV53" s="694"/>
      <c r="DW53" s="694"/>
      <c r="DX53" s="694"/>
      <c r="DY53" s="694"/>
      <c r="DZ53" s="694"/>
      <c r="EA53" s="694"/>
      <c r="EB53" s="694"/>
      <c r="EC53" s="694"/>
      <c r="ED53" s="694"/>
      <c r="EE53" s="694"/>
      <c r="EF53" s="694"/>
      <c r="EG53" s="694"/>
      <c r="EH53" s="993"/>
      <c r="EI53" s="993"/>
      <c r="EJ53" s="993"/>
      <c r="EK53" s="993"/>
      <c r="EL53" s="993"/>
      <c r="EM53" s="993"/>
      <c r="EN53" s="694"/>
      <c r="EO53" s="694"/>
      <c r="EP53" s="694"/>
      <c r="EQ53" s="694"/>
      <c r="ER53" s="694"/>
      <c r="ES53" s="694"/>
      <c r="ET53" s="694"/>
      <c r="EU53" s="694"/>
      <c r="EV53" s="694"/>
      <c r="EW53" s="694"/>
      <c r="EX53" s="694"/>
      <c r="EY53" s="694"/>
      <c r="EZ53" s="694"/>
      <c r="FA53" s="694"/>
      <c r="FB53" s="694"/>
      <c r="FC53" s="694"/>
      <c r="FD53" s="694"/>
      <c r="FE53" s="694"/>
      <c r="FF53" s="694"/>
      <c r="FG53" s="694"/>
      <c r="FH53" s="694"/>
      <c r="FI53" s="694"/>
      <c r="FJ53" s="694"/>
      <c r="FK53" s="694"/>
      <c r="FL53" s="694"/>
      <c r="FM53" s="694"/>
      <c r="FN53" s="694"/>
      <c r="FO53" s="694"/>
      <c r="FP53" s="694"/>
      <c r="FQ53" s="694"/>
      <c r="FR53" s="694"/>
      <c r="FS53" s="694"/>
      <c r="FT53" s="694"/>
      <c r="FU53" s="694"/>
      <c r="FV53" s="694"/>
      <c r="FW53" s="694"/>
      <c r="FX53" s="694"/>
      <c r="FY53" s="694"/>
      <c r="FZ53" s="694"/>
      <c r="GA53" s="694"/>
      <c r="GB53" s="694"/>
      <c r="GC53" s="694"/>
      <c r="GD53" s="694"/>
      <c r="GE53" s="694"/>
      <c r="GF53" s="694"/>
      <c r="GG53" s="694"/>
      <c r="GH53" s="694"/>
      <c r="GI53" s="694"/>
      <c r="GJ53" s="694"/>
      <c r="GK53" s="694"/>
      <c r="GL53" s="694"/>
      <c r="GM53" s="694"/>
      <c r="GN53" s="694"/>
      <c r="GO53" s="694"/>
      <c r="GP53" s="694"/>
      <c r="GQ53" s="694"/>
      <c r="GR53" s="694"/>
      <c r="GS53" s="694"/>
      <c r="GT53" s="694"/>
      <c r="GU53" s="694"/>
      <c r="GV53" s="694"/>
      <c r="GW53" s="694"/>
      <c r="GX53" s="694"/>
      <c r="GY53" s="993"/>
      <c r="GZ53" s="694"/>
      <c r="HA53" s="694"/>
      <c r="HB53" s="694"/>
      <c r="HC53" s="993"/>
      <c r="HD53" s="993"/>
      <c r="HE53" s="993"/>
      <c r="HF53" s="993"/>
      <c r="HG53" s="993"/>
      <c r="HH53" s="993"/>
      <c r="HI53" s="993"/>
      <c r="HJ53" s="993"/>
      <c r="HK53" s="993"/>
      <c r="HL53" s="694"/>
      <c r="HM53" s="694"/>
      <c r="HN53" s="694"/>
      <c r="HO53" s="694"/>
      <c r="HP53" s="694"/>
      <c r="HQ53" s="694"/>
      <c r="HR53" s="694"/>
      <c r="HS53" s="694"/>
      <c r="HT53" s="694"/>
      <c r="HU53" s="694"/>
      <c r="HV53" s="694"/>
      <c r="HW53" s="694"/>
      <c r="HX53" s="694"/>
      <c r="HY53" s="694"/>
      <c r="HZ53" s="694"/>
      <c r="IA53" s="694"/>
      <c r="IB53" s="694"/>
      <c r="IC53" s="694"/>
      <c r="ID53" s="694"/>
      <c r="IE53" s="694"/>
      <c r="IF53" s="694"/>
      <c r="IG53" s="694"/>
      <c r="IH53" s="694"/>
      <c r="II53" s="694"/>
      <c r="IJ53" s="694"/>
      <c r="IK53" s="694"/>
      <c r="IL53" s="694"/>
      <c r="IM53" s="694"/>
      <c r="IN53" s="694"/>
      <c r="IO53" s="694"/>
      <c r="IP53" s="694"/>
      <c r="IQ53" s="694"/>
      <c r="IR53" s="694"/>
      <c r="IS53" s="694"/>
      <c r="IT53" s="694"/>
      <c r="IU53" s="694"/>
      <c r="IV53" s="694"/>
      <c r="IW53" s="694"/>
      <c r="IX53" s="694"/>
      <c r="IY53" s="694"/>
      <c r="IZ53" s="694"/>
      <c r="JA53" s="694"/>
      <c r="JB53" s="694"/>
      <c r="JC53" s="694"/>
      <c r="JD53" s="694"/>
      <c r="JE53" s="694"/>
      <c r="JF53" s="694"/>
      <c r="JG53" s="694"/>
      <c r="JH53" s="694"/>
      <c r="JI53" s="694"/>
      <c r="JJ53" s="694"/>
      <c r="JK53" s="694"/>
      <c r="JL53" s="694"/>
      <c r="JM53" s="694"/>
      <c r="JN53" s="694"/>
      <c r="JO53" s="694"/>
      <c r="JP53" s="694"/>
      <c r="JQ53" s="694"/>
      <c r="JR53" s="993"/>
      <c r="JS53" s="993"/>
      <c r="JT53" s="993"/>
      <c r="JU53" s="993"/>
      <c r="JV53" s="993"/>
      <c r="JW53" s="993"/>
      <c r="JX53" s="993"/>
      <c r="JY53" s="993"/>
      <c r="JZ53" s="993"/>
      <c r="KA53" s="993"/>
      <c r="KB53" s="993"/>
      <c r="KC53" s="993"/>
      <c r="NB53" s="1185"/>
      <c r="NC53" s="1185"/>
      <c r="ND53" s="1185"/>
      <c r="NE53" s="1185"/>
      <c r="NF53" s="1185"/>
      <c r="NG53" s="1185"/>
      <c r="NH53" s="1185"/>
      <c r="NI53" s="1185"/>
      <c r="NJ53" s="1185"/>
      <c r="NK53" s="1185"/>
      <c r="NL53" s="1185"/>
      <c r="NM53" s="1185"/>
      <c r="NN53" s="1185"/>
      <c r="NO53" s="1185"/>
      <c r="NP53" s="1185"/>
      <c r="NQ53" s="1185"/>
      <c r="NR53" s="1185"/>
      <c r="NS53" s="1185"/>
      <c r="NT53" s="1185"/>
      <c r="NU53" s="1185"/>
      <c r="NV53" s="1185"/>
      <c r="NW53" s="1185"/>
      <c r="NX53" s="996"/>
      <c r="NY53" s="996"/>
      <c r="NZ53" s="996"/>
      <c r="OA53" s="996"/>
      <c r="OB53" s="996"/>
      <c r="OC53" s="996"/>
      <c r="OD53" s="996"/>
      <c r="OE53" s="996"/>
      <c r="OF53" s="996"/>
      <c r="OG53" s="996"/>
      <c r="OH53" s="996"/>
      <c r="OI53" s="996"/>
      <c r="OJ53" s="1008"/>
      <c r="OK53" s="1008"/>
      <c r="OL53" s="1008"/>
      <c r="OM53" s="1008"/>
      <c r="ON53" s="1008"/>
      <c r="OO53" s="694"/>
      <c r="QH53" s="993"/>
      <c r="QI53" s="993"/>
      <c r="QJ53" s="993"/>
      <c r="QK53" s="993"/>
      <c r="QL53" s="993"/>
      <c r="QM53" s="993"/>
      <c r="QN53" s="993"/>
      <c r="QO53" s="993"/>
      <c r="QP53" s="993"/>
      <c r="QQ53" s="993"/>
      <c r="QR53" s="993"/>
      <c r="QS53" s="993"/>
      <c r="QT53" s="993"/>
      <c r="QU53" s="993"/>
      <c r="QV53" s="993"/>
      <c r="QW53" s="993"/>
      <c r="QX53" s="993"/>
      <c r="QY53" s="993"/>
      <c r="QZ53" s="694"/>
      <c r="RA53" s="694"/>
      <c r="RB53" s="694"/>
      <c r="RC53" s="694"/>
      <c r="RD53" s="694"/>
      <c r="RE53" s="694"/>
      <c r="RF53" s="694"/>
      <c r="RG53" s="694"/>
      <c r="RH53" s="694"/>
      <c r="RI53" s="694"/>
      <c r="RJ53" s="694"/>
      <c r="RK53" s="694"/>
      <c r="RL53" s="694"/>
      <c r="RM53" s="694"/>
      <c r="RN53" s="694"/>
      <c r="RO53" s="694"/>
      <c r="RP53" s="694"/>
      <c r="RQ53" s="694"/>
      <c r="RR53" s="694"/>
      <c r="RS53" s="694"/>
      <c r="RT53" s="694"/>
      <c r="RU53" s="694"/>
      <c r="RV53" s="694"/>
      <c r="RW53" s="694"/>
      <c r="RX53" s="694"/>
      <c r="RY53" s="694"/>
      <c r="RZ53" s="694"/>
      <c r="SA53" s="694"/>
      <c r="SB53" s="694"/>
      <c r="SC53" s="694"/>
      <c r="SD53" s="993"/>
      <c r="SE53" s="993"/>
      <c r="SF53" s="993"/>
      <c r="SG53" s="993"/>
      <c r="SH53" s="993"/>
      <c r="SI53" s="993"/>
      <c r="SJ53" s="993"/>
      <c r="SK53" s="993"/>
      <c r="SL53" s="993"/>
      <c r="SM53" s="993"/>
      <c r="SN53" s="993"/>
      <c r="SO53" s="993"/>
      <c r="SP53" s="993"/>
      <c r="SQ53" s="993"/>
      <c r="SR53" s="993"/>
      <c r="SS53" s="993"/>
      <c r="ST53" s="993"/>
      <c r="SU53" s="993"/>
      <c r="SV53" s="993"/>
      <c r="SW53" s="993"/>
      <c r="SX53" s="993"/>
      <c r="SY53" s="993"/>
      <c r="SZ53" s="993"/>
      <c r="TA53" s="993"/>
      <c r="TB53" s="993"/>
      <c r="TC53" s="993"/>
      <c r="TD53" s="993"/>
      <c r="TE53" s="993"/>
      <c r="TF53" s="993"/>
      <c r="TG53" s="993"/>
      <c r="TH53" s="993"/>
      <c r="TI53" s="993"/>
      <c r="TJ53" s="993"/>
      <c r="TK53" s="993"/>
      <c r="TL53" s="993"/>
      <c r="TM53" s="993"/>
      <c r="TN53" s="993"/>
      <c r="TO53" s="993"/>
      <c r="TP53" s="993"/>
      <c r="TQ53" s="993"/>
      <c r="TR53" s="993"/>
      <c r="TS53" s="993"/>
      <c r="TT53" s="993"/>
      <c r="TU53" s="993"/>
      <c r="TV53" s="993"/>
      <c r="TW53" s="993"/>
      <c r="TX53" s="993"/>
      <c r="TY53" s="993"/>
      <c r="TZ53" s="993"/>
      <c r="UA53" s="993"/>
      <c r="UB53" s="993"/>
      <c r="UC53" s="993"/>
      <c r="UD53" s="993"/>
      <c r="UE53" s="993"/>
      <c r="UF53" s="993"/>
      <c r="UG53" s="993"/>
      <c r="UH53" s="993"/>
      <c r="UI53" s="993"/>
      <c r="UJ53" s="993"/>
      <c r="UK53" s="993"/>
      <c r="UL53" s="993"/>
      <c r="UM53" s="993"/>
      <c r="UN53" s="993"/>
      <c r="UO53" s="993"/>
      <c r="UP53" s="993"/>
      <c r="UQ53" s="993"/>
      <c r="UR53" s="993"/>
      <c r="US53" s="993"/>
      <c r="UT53" s="993"/>
      <c r="UU53" s="993"/>
      <c r="UV53" s="993"/>
      <c r="UW53" s="993"/>
      <c r="UX53" s="993"/>
      <c r="UY53" s="993"/>
      <c r="UZ53" s="993"/>
      <c r="VA53" s="993"/>
      <c r="VB53" s="694"/>
      <c r="VC53" s="694"/>
      <c r="VD53" s="694"/>
      <c r="VE53" s="694"/>
      <c r="VF53" s="1185"/>
      <c r="VG53" s="1185"/>
      <c r="VH53" s="1185"/>
      <c r="VI53" s="1185"/>
      <c r="VJ53" s="1352"/>
      <c r="VK53" s="1352">
        <f>'Проверочная  таблица'!WO38</f>
        <v>26661189.090000004</v>
      </c>
      <c r="VL53" s="1353"/>
      <c r="VM53" s="1352"/>
      <c r="VN53" s="993">
        <f>'Проверочная  таблица'!VX38</f>
        <v>63100</v>
      </c>
      <c r="VO53" s="694"/>
      <c r="VP53" s="694"/>
      <c r="VQ53" s="694"/>
      <c r="VR53" s="694"/>
      <c r="VS53" s="694"/>
      <c r="VT53" s="694"/>
      <c r="VU53" s="694"/>
      <c r="VV53" s="694"/>
      <c r="VW53" s="694"/>
      <c r="VX53" s="694"/>
      <c r="VY53" s="694"/>
      <c r="VZ53" s="694"/>
      <c r="WA53" s="694"/>
      <c r="WB53" s="694"/>
      <c r="WC53" s="694"/>
      <c r="WD53" s="694"/>
      <c r="WE53" s="694"/>
      <c r="WF53" s="694"/>
      <c r="WG53" s="694"/>
      <c r="WH53" s="694"/>
      <c r="WI53" s="694"/>
      <c r="WJ53" s="694"/>
      <c r="WK53" s="694"/>
      <c r="WL53" s="694"/>
      <c r="WM53" s="694"/>
      <c r="WN53" s="694"/>
      <c r="WO53" s="694"/>
      <c r="WP53" s="694"/>
      <c r="WQ53" s="694"/>
      <c r="WR53" s="1352">
        <f>ZR38+XV38</f>
        <v>306092400.38</v>
      </c>
      <c r="WS53" s="1352">
        <f>ZX38+XW38</f>
        <v>67894470.899999991</v>
      </c>
      <c r="WT53" s="993"/>
      <c r="WU53" s="993"/>
      <c r="WV53" s="993"/>
      <c r="WW53" s="993"/>
      <c r="WX53" s="993"/>
      <c r="WY53" s="993"/>
      <c r="WZ53" s="993"/>
      <c r="XA53" s="993"/>
      <c r="XB53" s="993"/>
      <c r="XC53" s="1354"/>
      <c r="XD53" s="1354"/>
      <c r="XE53" s="1354"/>
      <c r="XF53" s="996"/>
      <c r="XG53" s="996"/>
      <c r="XH53" s="996"/>
      <c r="XI53" s="996"/>
      <c r="XJ53" s="993"/>
      <c r="XK53" s="993"/>
      <c r="XL53" s="993"/>
      <c r="XM53" s="993"/>
      <c r="XN53" s="993"/>
      <c r="XO53" s="993"/>
      <c r="XP53" s="993"/>
      <c r="XQ53" s="993"/>
      <c r="XR53" s="993"/>
      <c r="XS53" s="993"/>
      <c r="XT53" s="993"/>
      <c r="XU53" s="993"/>
      <c r="XV53" s="993"/>
      <c r="XW53" s="993"/>
      <c r="XX53" s="1185"/>
      <c r="XY53" s="1185"/>
      <c r="XZ53" s="1185"/>
      <c r="YA53" s="1185"/>
      <c r="YB53" s="1185"/>
      <c r="YC53" s="1185"/>
      <c r="YD53" s="1185"/>
      <c r="YE53" s="1185"/>
      <c r="YF53" s="1185"/>
      <c r="YG53" s="1185"/>
      <c r="YH53" s="1185"/>
      <c r="YI53" s="1185"/>
      <c r="YJ53" s="1185"/>
      <c r="YK53" s="1185"/>
      <c r="YL53" s="1185"/>
      <c r="YM53" s="1185"/>
      <c r="YN53" s="1185"/>
      <c r="YO53" s="1185"/>
      <c r="YP53" s="1185"/>
      <c r="YQ53" s="1185"/>
      <c r="YR53" s="1185"/>
      <c r="YS53" s="1185"/>
      <c r="YT53" s="1185"/>
      <c r="YU53" s="1185"/>
      <c r="YV53" s="1185"/>
      <c r="YW53" s="1185"/>
      <c r="YX53" s="1185"/>
      <c r="YY53" s="1185"/>
      <c r="YZ53" s="1185"/>
      <c r="ZA53" s="1185"/>
      <c r="ZB53" s="1185"/>
      <c r="ZC53" s="1185"/>
      <c r="ZD53" s="1185"/>
      <c r="ZE53" s="1185"/>
      <c r="ZF53" s="1185"/>
      <c r="ZG53" s="1185"/>
      <c r="ZH53" s="1185"/>
      <c r="ZI53" s="1185"/>
      <c r="ZJ53" s="1185"/>
      <c r="ZK53" s="1185"/>
      <c r="ZL53" s="1185"/>
      <c r="ZM53" s="1185"/>
      <c r="ZN53" s="1185"/>
      <c r="ZO53" s="1185"/>
      <c r="ZP53" s="1185"/>
      <c r="ZQ53" s="1185"/>
      <c r="ZR53" s="1185"/>
      <c r="ZS53" s="1185"/>
      <c r="ZT53" s="1185"/>
      <c r="ZU53" s="1185"/>
      <c r="ZV53" s="1185"/>
      <c r="ZW53" s="1185"/>
      <c r="ZX53" s="1185"/>
      <c r="ZY53" s="1185"/>
      <c r="ZZ53" s="1185"/>
      <c r="AAA53" s="1185"/>
      <c r="AAB53" s="1185"/>
      <c r="AAC53" s="1185"/>
      <c r="AAD53" s="694"/>
      <c r="AAE53" s="694"/>
      <c r="AAF53" s="694"/>
      <c r="AAG53" s="694"/>
      <c r="AAH53" s="694"/>
      <c r="AAI53" s="694"/>
      <c r="AAJ53" s="694"/>
      <c r="AAK53" s="694"/>
      <c r="AAL53" s="694"/>
      <c r="AAM53" s="694"/>
      <c r="AAN53" s="694"/>
      <c r="AAO53" s="694"/>
      <c r="AAP53" s="694"/>
      <c r="AAQ53" s="694"/>
      <c r="AAR53" s="694"/>
      <c r="AAS53" s="694"/>
      <c r="AAT53" s="694"/>
      <c r="AAU53" s="694"/>
      <c r="AAV53" s="694"/>
      <c r="AAW53" s="694"/>
    </row>
    <row r="54" spans="1:725" ht="16.5" x14ac:dyDescent="0.25">
      <c r="A54" s="1199" t="s">
        <v>266</v>
      </c>
      <c r="B54" s="1349">
        <f>D54+AN54+'Проверочная  таблица'!VJ54+'Проверочная  таблица'!WR54</f>
        <v>1799347374.51</v>
      </c>
      <c r="C54" s="1349">
        <f>E54+'Проверочная  таблица'!VM54+AO54+'Проверочная  таблица'!WS54</f>
        <v>634293895.19000006</v>
      </c>
      <c r="D54" s="1352">
        <f>D52-D53</f>
        <v>1052660167.0799999</v>
      </c>
      <c r="E54" s="1352">
        <f>E52-E53</f>
        <v>503253943.42000008</v>
      </c>
      <c r="F54" s="694"/>
      <c r="G54" s="694"/>
      <c r="H54" s="694"/>
      <c r="I54" s="694"/>
      <c r="J54" s="694"/>
      <c r="K54" s="694"/>
      <c r="L54" s="694"/>
      <c r="M54" s="694"/>
      <c r="N54" s="694"/>
      <c r="O54" s="694"/>
      <c r="P54" s="694"/>
      <c r="Q54" s="694"/>
      <c r="R54" s="694"/>
      <c r="S54" s="694"/>
      <c r="T54" s="694"/>
      <c r="U54" s="694"/>
      <c r="V54" s="1185"/>
      <c r="W54" s="1185"/>
      <c r="X54" s="1185"/>
      <c r="Y54" s="1185"/>
      <c r="Z54" s="694"/>
      <c r="AA54" s="694"/>
      <c r="AB54" s="694"/>
      <c r="AC54" s="694"/>
      <c r="AD54" s="1185"/>
      <c r="AE54" s="1185"/>
      <c r="AF54" s="1185"/>
      <c r="AG54" s="694"/>
      <c r="AH54" s="1185"/>
      <c r="AI54" s="1185"/>
      <c r="AJ54" s="1185"/>
      <c r="AK54" s="1185"/>
      <c r="AL54" s="1185"/>
      <c r="AM54" s="1199" t="s">
        <v>266</v>
      </c>
      <c r="AN54" s="1352">
        <f>AN52-AN53</f>
        <v>377249160.38000011</v>
      </c>
      <c r="AO54" s="1352">
        <f>AO52-AO53</f>
        <v>84979530.280000031</v>
      </c>
      <c r="AP54" s="993"/>
      <c r="AQ54" s="993"/>
      <c r="AR54" s="993"/>
      <c r="AS54" s="993"/>
      <c r="AT54" s="993"/>
      <c r="AU54" s="993"/>
      <c r="AV54" s="993"/>
      <c r="AW54" s="993"/>
      <c r="AX54" s="993"/>
      <c r="AY54" s="993"/>
      <c r="AZ54" s="993"/>
      <c r="BA54" s="993"/>
      <c r="BB54" s="993"/>
      <c r="BC54" s="993"/>
      <c r="BD54" s="993"/>
      <c r="BE54" s="993"/>
      <c r="BF54" s="993"/>
      <c r="BG54" s="993"/>
      <c r="BH54" s="993"/>
      <c r="BI54" s="993"/>
      <c r="BJ54" s="993"/>
      <c r="BK54" s="993"/>
      <c r="BL54" s="993"/>
      <c r="BM54" s="993"/>
      <c r="BN54" s="993"/>
      <c r="BO54" s="993"/>
      <c r="BP54" s="993"/>
      <c r="BQ54" s="993"/>
      <c r="BR54" s="993"/>
      <c r="BS54" s="993"/>
      <c r="BT54" s="694"/>
      <c r="BU54" s="694"/>
      <c r="BV54" s="694"/>
      <c r="BW54" s="694"/>
      <c r="BX54" s="694"/>
      <c r="BY54" s="694"/>
      <c r="BZ54" s="694"/>
      <c r="CA54" s="694"/>
      <c r="CB54" s="694"/>
      <c r="CC54" s="694"/>
      <c r="CD54" s="694"/>
      <c r="CE54" s="694"/>
      <c r="CF54" s="694"/>
      <c r="CG54" s="694"/>
      <c r="CH54" s="694"/>
      <c r="CI54" s="694"/>
      <c r="CJ54" s="694"/>
      <c r="CK54" s="694"/>
      <c r="CL54" s="694"/>
      <c r="CM54" s="694"/>
      <c r="CN54" s="694"/>
      <c r="CO54" s="694"/>
      <c r="CP54" s="694"/>
      <c r="CQ54" s="694"/>
      <c r="CR54" s="694"/>
      <c r="CS54" s="694"/>
      <c r="CT54" s="694"/>
      <c r="CU54" s="694"/>
      <c r="CV54" s="694"/>
      <c r="CW54" s="694"/>
      <c r="CX54" s="694"/>
      <c r="CY54" s="694"/>
      <c r="CZ54" s="694"/>
      <c r="DA54" s="694"/>
      <c r="DB54" s="694"/>
      <c r="DC54" s="694"/>
      <c r="DD54" s="694"/>
      <c r="DE54" s="694"/>
      <c r="DF54" s="694"/>
      <c r="DG54" s="694"/>
      <c r="DH54" s="694"/>
      <c r="DI54" s="694"/>
      <c r="DJ54" s="694"/>
      <c r="DK54" s="694"/>
      <c r="DL54" s="694"/>
      <c r="DM54" s="694"/>
      <c r="DN54" s="694"/>
      <c r="DO54" s="694"/>
      <c r="DP54" s="694"/>
      <c r="DQ54" s="694"/>
      <c r="DR54" s="694"/>
      <c r="DS54" s="694"/>
      <c r="DT54" s="694"/>
      <c r="DU54" s="694"/>
      <c r="DV54" s="694"/>
      <c r="DW54" s="694"/>
      <c r="DX54" s="694"/>
      <c r="DY54" s="694"/>
      <c r="DZ54" s="694"/>
      <c r="EA54" s="694"/>
      <c r="EB54" s="694"/>
      <c r="EC54" s="694"/>
      <c r="ED54" s="694"/>
      <c r="EE54" s="694"/>
      <c r="EF54" s="694"/>
      <c r="EG54" s="694"/>
      <c r="EH54" s="993"/>
      <c r="EI54" s="993"/>
      <c r="EJ54" s="993"/>
      <c r="EK54" s="993"/>
      <c r="EL54" s="993"/>
      <c r="EM54" s="993"/>
      <c r="EN54" s="694"/>
      <c r="EO54" s="694"/>
      <c r="EP54" s="694"/>
      <c r="EQ54" s="694"/>
      <c r="ER54" s="694"/>
      <c r="ES54" s="694"/>
      <c r="ET54" s="694"/>
      <c r="EU54" s="694"/>
      <c r="EV54" s="694"/>
      <c r="EW54" s="694"/>
      <c r="EX54" s="694"/>
      <c r="EY54" s="694"/>
      <c r="EZ54" s="694"/>
      <c r="FA54" s="694"/>
      <c r="FB54" s="694"/>
      <c r="FC54" s="694"/>
      <c r="FD54" s="694"/>
      <c r="FE54" s="694"/>
      <c r="FF54" s="694"/>
      <c r="FG54" s="694"/>
      <c r="FH54" s="694"/>
      <c r="FI54" s="694"/>
      <c r="FJ54" s="694"/>
      <c r="FK54" s="694"/>
      <c r="FL54" s="694"/>
      <c r="FM54" s="694"/>
      <c r="FN54" s="694"/>
      <c r="FO54" s="694"/>
      <c r="FP54" s="694"/>
      <c r="FQ54" s="694"/>
      <c r="FR54" s="694"/>
      <c r="FS54" s="694"/>
      <c r="FT54" s="694"/>
      <c r="FU54" s="694"/>
      <c r="FV54" s="694"/>
      <c r="FW54" s="694"/>
      <c r="FX54" s="694"/>
      <c r="FY54" s="694"/>
      <c r="FZ54" s="694"/>
      <c r="GA54" s="694"/>
      <c r="GB54" s="694"/>
      <c r="GC54" s="694"/>
      <c r="GD54" s="694"/>
      <c r="GE54" s="694"/>
      <c r="GF54" s="694"/>
      <c r="GG54" s="694"/>
      <c r="GH54" s="694"/>
      <c r="GI54" s="694"/>
      <c r="GJ54" s="694"/>
      <c r="GK54" s="694"/>
      <c r="GL54" s="694"/>
      <c r="GM54" s="694"/>
      <c r="GN54" s="694"/>
      <c r="GO54" s="694"/>
      <c r="GP54" s="694"/>
      <c r="GQ54" s="694"/>
      <c r="GR54" s="694"/>
      <c r="GS54" s="694"/>
      <c r="GT54" s="694"/>
      <c r="GU54" s="694"/>
      <c r="GV54" s="694"/>
      <c r="GW54" s="694"/>
      <c r="GX54" s="694"/>
      <c r="GY54" s="993"/>
      <c r="GZ54" s="694"/>
      <c r="HA54" s="694"/>
      <c r="HB54" s="694"/>
      <c r="HC54" s="993"/>
      <c r="HD54" s="993"/>
      <c r="HE54" s="993"/>
      <c r="HF54" s="993"/>
      <c r="HG54" s="993"/>
      <c r="HH54" s="993"/>
      <c r="HI54" s="993"/>
      <c r="HJ54" s="993"/>
      <c r="HK54" s="993"/>
      <c r="HL54" s="694"/>
      <c r="HM54" s="694"/>
      <c r="HN54" s="694"/>
      <c r="HO54" s="694"/>
      <c r="HP54" s="694"/>
      <c r="HQ54" s="694"/>
      <c r="HR54" s="694"/>
      <c r="HS54" s="694"/>
      <c r="HT54" s="694"/>
      <c r="HU54" s="694"/>
      <c r="HV54" s="694"/>
      <c r="HW54" s="694"/>
      <c r="HX54" s="694"/>
      <c r="HY54" s="694"/>
      <c r="HZ54" s="694"/>
      <c r="IA54" s="694"/>
      <c r="IB54" s="694"/>
      <c r="IC54" s="694"/>
      <c r="ID54" s="694"/>
      <c r="IE54" s="694"/>
      <c r="IF54" s="694"/>
      <c r="IG54" s="694"/>
      <c r="IH54" s="694"/>
      <c r="II54" s="694"/>
      <c r="IJ54" s="694"/>
      <c r="IK54" s="694"/>
      <c r="IL54" s="694"/>
      <c r="IM54" s="694"/>
      <c r="IN54" s="694"/>
      <c r="IO54" s="694"/>
      <c r="IP54" s="694"/>
      <c r="IQ54" s="694"/>
      <c r="IR54" s="694"/>
      <c r="IS54" s="694"/>
      <c r="IT54" s="694"/>
      <c r="IU54" s="694"/>
      <c r="IV54" s="694"/>
      <c r="IW54" s="694"/>
      <c r="IX54" s="694"/>
      <c r="IY54" s="694"/>
      <c r="IZ54" s="694"/>
      <c r="JA54" s="694"/>
      <c r="JB54" s="694"/>
      <c r="JC54" s="694"/>
      <c r="JD54" s="694"/>
      <c r="JE54" s="694"/>
      <c r="JF54" s="694"/>
      <c r="JG54" s="694"/>
      <c r="JH54" s="694"/>
      <c r="JI54" s="694"/>
      <c r="JJ54" s="694"/>
      <c r="JK54" s="694"/>
      <c r="JL54" s="694"/>
      <c r="JM54" s="694"/>
      <c r="JN54" s="694"/>
      <c r="JO54" s="694"/>
      <c r="JP54" s="694"/>
      <c r="JQ54" s="694"/>
      <c r="JR54" s="993"/>
      <c r="JS54" s="993"/>
      <c r="JT54" s="993"/>
      <c r="JU54" s="993"/>
      <c r="JV54" s="993"/>
      <c r="JW54" s="993"/>
      <c r="JX54" s="993"/>
      <c r="JY54" s="993"/>
      <c r="JZ54" s="993"/>
      <c r="KA54" s="993"/>
      <c r="KB54" s="993"/>
      <c r="KC54" s="993"/>
      <c r="NB54" s="1185"/>
      <c r="NC54" s="1185"/>
      <c r="ND54" s="1185"/>
      <c r="NE54" s="1185"/>
      <c r="NF54" s="1185"/>
      <c r="NG54" s="1185"/>
      <c r="NH54" s="1185"/>
      <c r="NI54" s="1185"/>
      <c r="NJ54" s="1185"/>
      <c r="NK54" s="1185"/>
      <c r="NL54" s="1185"/>
      <c r="NM54" s="1185"/>
      <c r="NN54" s="1185"/>
      <c r="NO54" s="1185"/>
      <c r="NP54" s="1185"/>
      <c r="NQ54" s="1185"/>
      <c r="NR54" s="1185"/>
      <c r="NS54" s="1185"/>
      <c r="NT54" s="1185"/>
      <c r="NU54" s="1185"/>
      <c r="NV54" s="1185"/>
      <c r="NW54" s="1185"/>
      <c r="NX54" s="996"/>
      <c r="NY54" s="996"/>
      <c r="NZ54" s="996"/>
      <c r="OA54" s="996"/>
      <c r="OB54" s="996"/>
      <c r="OC54" s="996"/>
      <c r="OD54" s="996"/>
      <c r="OE54" s="996"/>
      <c r="OF54" s="996"/>
      <c r="OG54" s="996"/>
      <c r="OH54" s="996"/>
      <c r="OI54" s="996"/>
      <c r="OJ54" s="1008"/>
      <c r="OK54" s="1008"/>
      <c r="OL54" s="1008"/>
      <c r="OM54" s="1008"/>
      <c r="ON54" s="1008"/>
      <c r="OO54" s="694"/>
      <c r="QH54" s="993"/>
      <c r="QI54" s="993"/>
      <c r="QJ54" s="993"/>
      <c r="QK54" s="993"/>
      <c r="QL54" s="993"/>
      <c r="QM54" s="993"/>
      <c r="QN54" s="993"/>
      <c r="QO54" s="993"/>
      <c r="QP54" s="993"/>
      <c r="QQ54" s="993"/>
      <c r="QR54" s="993"/>
      <c r="QS54" s="993"/>
      <c r="QT54" s="993"/>
      <c r="QU54" s="993"/>
      <c r="QV54" s="993"/>
      <c r="QW54" s="993"/>
      <c r="QX54" s="993"/>
      <c r="QY54" s="993"/>
      <c r="QZ54" s="694"/>
      <c r="RA54" s="694"/>
      <c r="RB54" s="694"/>
      <c r="RC54" s="694"/>
      <c r="RD54" s="694"/>
      <c r="RE54" s="694"/>
      <c r="RF54" s="694"/>
      <c r="RG54" s="694"/>
      <c r="RH54" s="694"/>
      <c r="RI54" s="694"/>
      <c r="RJ54" s="694"/>
      <c r="RK54" s="694"/>
      <c r="RL54" s="694"/>
      <c r="RM54" s="694"/>
      <c r="RN54" s="694"/>
      <c r="RO54" s="694"/>
      <c r="RP54" s="694"/>
      <c r="RQ54" s="694"/>
      <c r="RR54" s="694"/>
      <c r="RS54" s="694"/>
      <c r="RT54" s="694"/>
      <c r="RU54" s="694"/>
      <c r="RV54" s="694"/>
      <c r="RW54" s="694"/>
      <c r="RX54" s="694"/>
      <c r="RY54" s="694"/>
      <c r="RZ54" s="694"/>
      <c r="SA54" s="694"/>
      <c r="SB54" s="694"/>
      <c r="SC54" s="694"/>
      <c r="SD54" s="993"/>
      <c r="SE54" s="993"/>
      <c r="SF54" s="993"/>
      <c r="SG54" s="993"/>
      <c r="SH54" s="993"/>
      <c r="SI54" s="993"/>
      <c r="SJ54" s="993"/>
      <c r="SK54" s="993"/>
      <c r="SL54" s="993"/>
      <c r="SM54" s="993"/>
      <c r="SN54" s="993"/>
      <c r="SO54" s="993"/>
      <c r="SP54" s="993"/>
      <c r="SQ54" s="993"/>
      <c r="SR54" s="993"/>
      <c r="SS54" s="993"/>
      <c r="ST54" s="993"/>
      <c r="SU54" s="993"/>
      <c r="SV54" s="993"/>
      <c r="SW54" s="993"/>
      <c r="SX54" s="993"/>
      <c r="SY54" s="993"/>
      <c r="SZ54" s="993"/>
      <c r="TA54" s="993"/>
      <c r="TB54" s="993"/>
      <c r="TC54" s="993"/>
      <c r="TD54" s="993"/>
      <c r="TE54" s="993"/>
      <c r="TF54" s="993"/>
      <c r="TG54" s="993"/>
      <c r="TH54" s="993"/>
      <c r="TI54" s="993"/>
      <c r="TJ54" s="993"/>
      <c r="TK54" s="993"/>
      <c r="TL54" s="993"/>
      <c r="TM54" s="993"/>
      <c r="TN54" s="993"/>
      <c r="TO54" s="993"/>
      <c r="TP54" s="993"/>
      <c r="TQ54" s="993"/>
      <c r="TR54" s="993"/>
      <c r="TS54" s="993"/>
      <c r="TT54" s="993"/>
      <c r="TU54" s="993"/>
      <c r="TV54" s="993"/>
      <c r="TW54" s="993"/>
      <c r="TX54" s="993"/>
      <c r="TY54" s="993"/>
      <c r="TZ54" s="993"/>
      <c r="UA54" s="993"/>
      <c r="UB54" s="993"/>
      <c r="UC54" s="993"/>
      <c r="UD54" s="993"/>
      <c r="UE54" s="993"/>
      <c r="UF54" s="993"/>
      <c r="UG54" s="993"/>
      <c r="UH54" s="993"/>
      <c r="UI54" s="993"/>
      <c r="UJ54" s="993"/>
      <c r="UK54" s="993"/>
      <c r="UL54" s="993"/>
      <c r="UM54" s="993"/>
      <c r="UN54" s="993"/>
      <c r="UO54" s="993"/>
      <c r="UP54" s="993"/>
      <c r="UQ54" s="993"/>
      <c r="UR54" s="993"/>
      <c r="US54" s="993"/>
      <c r="UT54" s="993"/>
      <c r="UU54" s="993"/>
      <c r="UV54" s="993"/>
      <c r="UW54" s="993"/>
      <c r="UX54" s="993"/>
      <c r="UY54" s="993"/>
      <c r="UZ54" s="993"/>
      <c r="VA54" s="993"/>
      <c r="VB54" s="694"/>
      <c r="VC54" s="694"/>
      <c r="VD54" s="694"/>
      <c r="VE54" s="694"/>
      <c r="VF54" s="1185"/>
      <c r="VG54" s="1185"/>
      <c r="VH54" s="1185"/>
      <c r="VI54" s="1185"/>
      <c r="VJ54" s="1352">
        <f>VJ52-VJ53</f>
        <v>36969300</v>
      </c>
      <c r="VK54" s="1352">
        <f>VK52-VK53</f>
        <v>-26661189.090000004</v>
      </c>
      <c r="VL54" s="1353"/>
      <c r="VM54" s="1352">
        <f>VM52-VM53</f>
        <v>14961629.73</v>
      </c>
      <c r="VN54" s="993">
        <f>VN52-VN53</f>
        <v>-63100</v>
      </c>
      <c r="VO54" s="694"/>
      <c r="VP54" s="694"/>
      <c r="VQ54" s="694"/>
      <c r="VR54" s="694"/>
      <c r="VS54" s="694"/>
      <c r="VT54" s="694"/>
      <c r="VU54" s="694"/>
      <c r="VV54" s="694"/>
      <c r="VW54" s="694"/>
      <c r="VX54" s="694"/>
      <c r="VY54" s="694"/>
      <c r="VZ54" s="694"/>
      <c r="WA54" s="694"/>
      <c r="WB54" s="694"/>
      <c r="WC54" s="694"/>
      <c r="WD54" s="694"/>
      <c r="WE54" s="694"/>
      <c r="WF54" s="694"/>
      <c r="WG54" s="694"/>
      <c r="WH54" s="694"/>
      <c r="WI54" s="694"/>
      <c r="WJ54" s="694"/>
      <c r="WK54" s="694"/>
      <c r="WL54" s="694"/>
      <c r="WM54" s="694"/>
      <c r="WN54" s="694"/>
      <c r="WO54" s="694"/>
      <c r="WP54" s="694"/>
      <c r="WQ54" s="694"/>
      <c r="WR54" s="1352">
        <f>ZF38+XT38</f>
        <v>332468747.05000001</v>
      </c>
      <c r="WS54" s="1352">
        <f>ZL38+XU38</f>
        <v>31098791.760000002</v>
      </c>
      <c r="WT54" s="993"/>
      <c r="WU54" s="993"/>
      <c r="WV54" s="993"/>
      <c r="WW54" s="993"/>
      <c r="WX54" s="993"/>
      <c r="WY54" s="993"/>
      <c r="WZ54" s="993"/>
      <c r="XA54" s="993"/>
      <c r="XB54" s="993"/>
      <c r="XC54" s="1354"/>
      <c r="XD54" s="1354"/>
      <c r="XE54" s="1354"/>
      <c r="XF54" s="996"/>
      <c r="XG54" s="996"/>
      <c r="XH54" s="996"/>
      <c r="XI54" s="996"/>
      <c r="XJ54" s="993"/>
      <c r="XK54" s="993"/>
      <c r="XL54" s="993"/>
      <c r="XM54" s="993"/>
      <c r="XN54" s="993"/>
      <c r="XO54" s="993"/>
      <c r="XP54" s="993"/>
      <c r="XQ54" s="993"/>
      <c r="XR54" s="993"/>
      <c r="XS54" s="993"/>
      <c r="XT54" s="993"/>
      <c r="XU54" s="993"/>
      <c r="XV54" s="993"/>
      <c r="XW54" s="993"/>
      <c r="XX54" s="1185"/>
      <c r="XY54" s="1185"/>
      <c r="XZ54" s="1185"/>
      <c r="YA54" s="1185"/>
      <c r="YB54" s="1185"/>
      <c r="YC54" s="1185"/>
      <c r="YD54" s="1185"/>
      <c r="YE54" s="1185"/>
      <c r="YF54" s="1185"/>
      <c r="YG54" s="1185"/>
      <c r="YH54" s="1185"/>
      <c r="YI54" s="1185"/>
      <c r="YJ54" s="1185"/>
      <c r="YK54" s="1185"/>
      <c r="YL54" s="1185"/>
      <c r="YM54" s="1185"/>
      <c r="YN54" s="1185"/>
      <c r="YO54" s="1185"/>
      <c r="YP54" s="1185"/>
      <c r="YQ54" s="1185"/>
      <c r="YR54" s="1185"/>
      <c r="YS54" s="1185"/>
      <c r="YT54" s="1185"/>
      <c r="YU54" s="1185"/>
      <c r="YV54" s="1185"/>
      <c r="YW54" s="1185"/>
      <c r="YX54" s="1185"/>
      <c r="YY54" s="1185"/>
      <c r="YZ54" s="1185"/>
      <c r="ZA54" s="1185"/>
      <c r="ZB54" s="1185"/>
      <c r="ZC54" s="1185"/>
      <c r="ZD54" s="1185"/>
      <c r="ZE54" s="1185"/>
      <c r="ZF54" s="1185"/>
      <c r="ZG54" s="1185"/>
      <c r="ZH54" s="1185"/>
      <c r="ZI54" s="1185"/>
      <c r="ZJ54" s="1185"/>
      <c r="ZK54" s="1185"/>
      <c r="ZL54" s="1185"/>
      <c r="ZM54" s="1185"/>
      <c r="ZN54" s="1185"/>
      <c r="ZO54" s="1185"/>
      <c r="ZP54" s="1185"/>
      <c r="ZQ54" s="1185"/>
      <c r="ZR54" s="1185"/>
      <c r="ZS54" s="1185"/>
      <c r="ZT54" s="1185"/>
      <c r="ZU54" s="1185"/>
      <c r="ZV54" s="1185"/>
      <c r="ZW54" s="1185"/>
      <c r="ZX54" s="1185"/>
      <c r="ZY54" s="1185"/>
      <c r="ZZ54" s="1185"/>
      <c r="AAA54" s="1185"/>
      <c r="AAB54" s="1185"/>
      <c r="AAC54" s="1185"/>
      <c r="AAD54" s="694"/>
      <c r="AAE54" s="694"/>
      <c r="AAF54" s="694"/>
      <c r="AAG54" s="694"/>
      <c r="AAH54" s="694"/>
      <c r="AAI54" s="694"/>
      <c r="AAJ54" s="694"/>
      <c r="AAK54" s="694"/>
      <c r="AAL54" s="694"/>
      <c r="AAM54" s="694"/>
      <c r="AAN54" s="694"/>
      <c r="AAO54" s="694"/>
      <c r="AAP54" s="694"/>
      <c r="AAQ54" s="694"/>
      <c r="AAR54" s="694"/>
      <c r="AAS54" s="694"/>
      <c r="AAT54" s="694"/>
      <c r="AAU54" s="694"/>
      <c r="AAV54" s="694"/>
      <c r="AAW54" s="694"/>
    </row>
    <row r="55" spans="1:725" ht="16.5" x14ac:dyDescent="0.25">
      <c r="A55" s="1199" t="s">
        <v>423</v>
      </c>
      <c r="B55" s="1350">
        <f>B38-B51-B52-B50</f>
        <v>0</v>
      </c>
      <c r="C55" s="1350">
        <f>C38-C51-C52-C50</f>
        <v>0</v>
      </c>
      <c r="D55" s="1350">
        <f>D38-D51-D52-D50</f>
        <v>0</v>
      </c>
      <c r="E55" s="1350">
        <f>E38-E51-E52-E50</f>
        <v>0</v>
      </c>
      <c r="F55" s="1185"/>
      <c r="G55" s="1185"/>
      <c r="H55" s="1185"/>
      <c r="I55" s="1185"/>
      <c r="J55" s="1185"/>
      <c r="K55" s="1185"/>
      <c r="L55" s="1185"/>
      <c r="M55" s="1185"/>
      <c r="N55" s="1185"/>
      <c r="O55" s="1185"/>
      <c r="P55" s="1185"/>
      <c r="Q55" s="1185"/>
      <c r="R55" s="1185"/>
      <c r="S55" s="1185"/>
      <c r="T55" s="1185"/>
      <c r="U55" s="1185"/>
      <c r="V55" s="1185"/>
      <c r="W55" s="1185"/>
      <c r="X55" s="1185"/>
      <c r="Y55" s="1185"/>
      <c r="Z55" s="1185"/>
      <c r="AA55" s="1185"/>
      <c r="AB55" s="1185"/>
      <c r="AC55" s="1185"/>
      <c r="AD55" s="1185"/>
      <c r="AE55" s="1185"/>
      <c r="AF55" s="1185"/>
      <c r="AG55" s="1185"/>
      <c r="AH55" s="1185"/>
      <c r="AI55" s="1185"/>
      <c r="AJ55" s="1185"/>
      <c r="AK55" s="1185"/>
      <c r="AL55" s="1185"/>
      <c r="AM55" s="1199" t="s">
        <v>423</v>
      </c>
      <c r="AN55" s="1350">
        <f>AN38-AN51-AN52-AN50</f>
        <v>0</v>
      </c>
      <c r="AO55" s="1350">
        <f>AO38-AO51-AO52-AO50</f>
        <v>0</v>
      </c>
      <c r="AP55" s="996"/>
      <c r="AQ55" s="996"/>
      <c r="AR55" s="996"/>
      <c r="AS55" s="996"/>
      <c r="AT55" s="996"/>
      <c r="AU55" s="996"/>
      <c r="AV55" s="996"/>
      <c r="AW55" s="996"/>
      <c r="AX55" s="996"/>
      <c r="AY55" s="996"/>
      <c r="AZ55" s="996"/>
      <c r="BA55" s="996"/>
      <c r="BB55" s="996"/>
      <c r="BC55" s="996"/>
      <c r="BD55" s="996"/>
      <c r="BE55" s="996"/>
      <c r="BF55" s="996"/>
      <c r="BG55" s="996"/>
      <c r="BH55" s="996"/>
      <c r="BI55" s="996"/>
      <c r="BJ55" s="996"/>
      <c r="BK55" s="996"/>
      <c r="BL55" s="996"/>
      <c r="BM55" s="996"/>
      <c r="BN55" s="996"/>
      <c r="BO55" s="996"/>
      <c r="BP55" s="996"/>
      <c r="BQ55" s="996"/>
      <c r="BR55" s="996"/>
      <c r="BS55" s="996"/>
      <c r="BT55" s="1185"/>
      <c r="BU55" s="1185"/>
      <c r="BV55" s="1185"/>
      <c r="BW55" s="1185"/>
      <c r="BX55" s="1185"/>
      <c r="BY55" s="1185"/>
      <c r="BZ55" s="1185"/>
      <c r="CA55" s="1185"/>
      <c r="CB55" s="694"/>
      <c r="CC55" s="694"/>
      <c r="CD55" s="694"/>
      <c r="CE55" s="694"/>
      <c r="CF55" s="694"/>
      <c r="CG55" s="694"/>
      <c r="CH55" s="1185"/>
      <c r="CI55" s="1185"/>
      <c r="CJ55" s="1185"/>
      <c r="CK55" s="1185"/>
      <c r="CL55" s="1185"/>
      <c r="CM55" s="1185"/>
      <c r="CN55" s="1185"/>
      <c r="CO55" s="1185"/>
      <c r="CP55" s="1185"/>
      <c r="CQ55" s="1185"/>
      <c r="CR55" s="1185"/>
      <c r="CS55" s="1185"/>
      <c r="CT55" s="1185"/>
      <c r="CU55" s="1185"/>
      <c r="CV55" s="1185"/>
      <c r="CW55" s="1185"/>
      <c r="CX55" s="1185"/>
      <c r="CY55" s="1185"/>
      <c r="CZ55" s="1185"/>
      <c r="DA55" s="1185"/>
      <c r="DB55" s="1185"/>
      <c r="DC55" s="1185"/>
      <c r="DD55" s="1185"/>
      <c r="DE55" s="1185"/>
      <c r="DF55" s="1185"/>
      <c r="DG55" s="1185"/>
      <c r="DH55" s="1185"/>
      <c r="DI55" s="1185"/>
      <c r="DJ55" s="1185"/>
      <c r="DK55" s="1185"/>
      <c r="DL55" s="1185"/>
      <c r="DM55" s="1185"/>
      <c r="DN55" s="1185"/>
      <c r="DO55" s="1185"/>
      <c r="DP55" s="1185"/>
      <c r="DQ55" s="1185"/>
      <c r="DR55" s="1185"/>
      <c r="DS55" s="1185"/>
      <c r="DT55" s="1185"/>
      <c r="DU55" s="1185"/>
      <c r="DV55" s="1185"/>
      <c r="DW55" s="1185"/>
      <c r="DX55" s="1185"/>
      <c r="DY55" s="1185"/>
      <c r="DZ55" s="1185"/>
      <c r="EA55" s="1185"/>
      <c r="EB55" s="1185"/>
      <c r="EC55" s="1185"/>
      <c r="ED55" s="1185"/>
      <c r="EE55" s="1185"/>
      <c r="EF55" s="1185"/>
      <c r="EG55" s="1185"/>
      <c r="EH55" s="996"/>
      <c r="EI55" s="996"/>
      <c r="EJ55" s="996"/>
      <c r="EK55" s="996"/>
      <c r="EL55" s="996"/>
      <c r="EM55" s="996"/>
      <c r="EN55" s="1185"/>
      <c r="EO55" s="1185"/>
      <c r="EP55" s="1185"/>
      <c r="EQ55" s="1185"/>
      <c r="ER55" s="1185"/>
      <c r="ES55" s="1185"/>
      <c r="ET55" s="1185"/>
      <c r="EU55" s="1185"/>
      <c r="EV55" s="1185"/>
      <c r="EW55" s="1185"/>
      <c r="EX55" s="1185"/>
      <c r="EY55" s="1185"/>
      <c r="EZ55" s="1185"/>
      <c r="FA55" s="1185"/>
      <c r="FB55" s="1185"/>
      <c r="FC55" s="1185"/>
      <c r="FD55" s="1185"/>
      <c r="FE55" s="1185"/>
      <c r="FF55" s="1185"/>
      <c r="FG55" s="1185"/>
      <c r="FH55" s="1185"/>
      <c r="FI55" s="1185"/>
      <c r="FJ55" s="1185"/>
      <c r="FK55" s="1185"/>
      <c r="FL55" s="1185"/>
      <c r="FM55" s="1185"/>
      <c r="FN55" s="1185"/>
      <c r="FO55" s="1185"/>
      <c r="FP55" s="1185"/>
      <c r="FQ55" s="1185"/>
      <c r="FR55" s="1185"/>
      <c r="FS55" s="1185"/>
      <c r="FT55" s="1185"/>
      <c r="FU55" s="1185"/>
      <c r="FV55" s="1185"/>
      <c r="FW55" s="1185"/>
      <c r="FX55" s="1185"/>
      <c r="FY55" s="1185"/>
      <c r="FZ55" s="1185"/>
      <c r="GA55" s="1185"/>
      <c r="GB55" s="1185"/>
      <c r="GC55" s="1185"/>
      <c r="GD55" s="1185"/>
      <c r="GE55" s="1185"/>
      <c r="GF55" s="1185"/>
      <c r="GG55" s="1185"/>
      <c r="GH55" s="1185"/>
      <c r="GI55" s="1185"/>
      <c r="GJ55" s="1185"/>
      <c r="GK55" s="1185"/>
      <c r="GL55" s="1185"/>
      <c r="GM55" s="1185"/>
      <c r="GN55" s="1185"/>
      <c r="GO55" s="1185"/>
      <c r="GP55" s="1185"/>
      <c r="GQ55" s="1185"/>
      <c r="GR55" s="1185"/>
      <c r="GS55" s="1185"/>
      <c r="GT55" s="1185"/>
      <c r="GU55" s="1185"/>
      <c r="GV55" s="1185"/>
      <c r="GW55" s="1185"/>
      <c r="GX55" s="1185"/>
      <c r="GY55" s="996"/>
      <c r="GZ55" s="1185"/>
      <c r="HA55" s="1185"/>
      <c r="HB55" s="1185"/>
      <c r="HC55" s="996"/>
      <c r="HD55" s="996"/>
      <c r="HE55" s="996"/>
      <c r="HF55" s="996"/>
      <c r="HG55" s="996"/>
      <c r="HH55" s="996"/>
      <c r="HI55" s="996"/>
      <c r="HJ55" s="996"/>
      <c r="HK55" s="996"/>
      <c r="HL55" s="1185"/>
      <c r="HM55" s="1185"/>
      <c r="HN55" s="1185"/>
      <c r="HO55" s="1185"/>
      <c r="HP55" s="1185"/>
      <c r="HQ55" s="1185"/>
      <c r="HR55" s="1185"/>
      <c r="HS55" s="1185"/>
      <c r="HT55" s="1185"/>
      <c r="HU55" s="1185"/>
      <c r="HV55" s="1185"/>
      <c r="HW55" s="1185"/>
      <c r="HX55" s="1185"/>
      <c r="HY55" s="1185"/>
      <c r="HZ55" s="1185"/>
      <c r="IA55" s="1185"/>
      <c r="IB55" s="1185"/>
      <c r="IC55" s="1185"/>
      <c r="ID55" s="1185"/>
      <c r="IE55" s="1185"/>
      <c r="IF55" s="1185"/>
      <c r="IG55" s="1185"/>
      <c r="IH55" s="1185"/>
      <c r="II55" s="1185"/>
      <c r="IJ55" s="1185"/>
      <c r="IK55" s="1185"/>
      <c r="IL55" s="1185"/>
      <c r="IM55" s="1185"/>
      <c r="IN55" s="1185"/>
      <c r="IO55" s="1185"/>
      <c r="IP55" s="1185"/>
      <c r="IQ55" s="1185"/>
      <c r="IR55" s="1185"/>
      <c r="IS55" s="1185"/>
      <c r="IT55" s="1185"/>
      <c r="IU55" s="1185"/>
      <c r="IV55" s="1185"/>
      <c r="IW55" s="1185"/>
      <c r="IX55" s="1185"/>
      <c r="IY55" s="1185"/>
      <c r="IZ55" s="1185"/>
      <c r="JA55" s="1185"/>
      <c r="JB55" s="1185"/>
      <c r="JC55" s="1185"/>
      <c r="JD55" s="1185"/>
      <c r="JE55" s="1185"/>
      <c r="JF55" s="1185"/>
      <c r="JG55" s="1185"/>
      <c r="JH55" s="1185"/>
      <c r="JI55" s="1185"/>
      <c r="JJ55" s="1185"/>
      <c r="JK55" s="1185"/>
      <c r="JL55" s="1185"/>
      <c r="JM55" s="1185"/>
      <c r="JN55" s="1185"/>
      <c r="JO55" s="1185"/>
      <c r="JP55" s="1185"/>
      <c r="JQ55" s="1185"/>
      <c r="JR55" s="996"/>
      <c r="JS55" s="996"/>
      <c r="JT55" s="996"/>
      <c r="JU55" s="996"/>
      <c r="JV55" s="996"/>
      <c r="JW55" s="996"/>
      <c r="JX55" s="996"/>
      <c r="JY55" s="996"/>
      <c r="JZ55" s="996"/>
      <c r="KA55" s="996"/>
      <c r="KB55" s="996"/>
      <c r="KC55" s="996"/>
      <c r="KD55" s="1185"/>
      <c r="KE55" s="1185"/>
      <c r="KF55" s="1185"/>
      <c r="KG55" s="1185"/>
      <c r="KH55" s="1185"/>
      <c r="KI55" s="1185"/>
      <c r="KJ55" s="1185"/>
      <c r="KK55" s="1185"/>
      <c r="KL55" s="1185"/>
      <c r="KM55" s="1185"/>
      <c r="KN55" s="1185"/>
      <c r="KO55" s="1185"/>
      <c r="KP55" s="1185"/>
      <c r="KQ55" s="1185"/>
      <c r="KR55" s="1185"/>
      <c r="KS55" s="1185"/>
      <c r="KT55" s="1185"/>
      <c r="KU55" s="1185"/>
      <c r="KV55" s="1185"/>
      <c r="KW55" s="1185"/>
      <c r="KX55" s="1185"/>
      <c r="KY55" s="1185"/>
      <c r="KZ55" s="1185"/>
      <c r="LA55" s="1185"/>
      <c r="LB55" s="1185"/>
      <c r="LC55" s="1185"/>
      <c r="LD55" s="1185"/>
      <c r="LE55" s="1185"/>
      <c r="LF55" s="1185"/>
      <c r="LG55" s="1185"/>
      <c r="LH55" s="1185"/>
      <c r="LI55" s="1185"/>
      <c r="LJ55" s="1185"/>
      <c r="LK55" s="1185"/>
      <c r="LL55" s="1185"/>
      <c r="LM55" s="1185"/>
      <c r="LN55" s="1185"/>
      <c r="LO55" s="1185"/>
      <c r="LP55" s="1185"/>
      <c r="LQ55" s="1185"/>
      <c r="LR55" s="1185"/>
      <c r="LS55" s="1185"/>
      <c r="LT55" s="1185"/>
      <c r="LU55" s="1185"/>
      <c r="LV55" s="1185"/>
      <c r="LW55" s="1185"/>
      <c r="LX55" s="1185"/>
      <c r="LY55" s="1185"/>
      <c r="LZ55" s="1185"/>
      <c r="MA55" s="1185"/>
      <c r="MB55" s="1185"/>
      <c r="MC55" s="1185"/>
      <c r="MD55" s="1185"/>
      <c r="ME55" s="1185"/>
      <c r="MF55" s="1185"/>
      <c r="MG55" s="1185"/>
      <c r="MH55" s="1185"/>
      <c r="MI55" s="1185"/>
      <c r="MJ55" s="1185"/>
      <c r="MK55" s="1185"/>
      <c r="ML55" s="1185"/>
      <c r="MM55" s="1185"/>
      <c r="MN55" s="1185"/>
      <c r="MO55" s="1185"/>
      <c r="MP55" s="1185"/>
      <c r="MQ55" s="1185"/>
      <c r="MR55" s="1185"/>
      <c r="MS55" s="1185"/>
      <c r="MT55" s="1185"/>
      <c r="MU55" s="1185"/>
      <c r="MV55" s="1185"/>
      <c r="MW55" s="1185"/>
      <c r="MX55" s="1185"/>
      <c r="MY55" s="1185"/>
      <c r="MZ55" s="1185"/>
      <c r="NA55" s="1185"/>
      <c r="NB55" s="1185"/>
      <c r="NC55" s="1185"/>
      <c r="ND55" s="1185"/>
      <c r="NE55" s="1185"/>
      <c r="NF55" s="1185"/>
      <c r="NG55" s="1185"/>
      <c r="NH55" s="1185"/>
      <c r="NI55" s="1185"/>
      <c r="NJ55" s="1185"/>
      <c r="NK55" s="1185"/>
      <c r="NL55" s="1185"/>
      <c r="NM55" s="1185"/>
      <c r="NN55" s="1185"/>
      <c r="NO55" s="1185"/>
      <c r="NP55" s="1185"/>
      <c r="NQ55" s="1185"/>
      <c r="NR55" s="1185"/>
      <c r="NS55" s="1185"/>
      <c r="NT55" s="1185"/>
      <c r="NU55" s="1185"/>
      <c r="NV55" s="1185"/>
      <c r="NW55" s="1185"/>
      <c r="NX55" s="1004"/>
      <c r="NY55" s="1004"/>
      <c r="NZ55" s="1004"/>
      <c r="OA55" s="1004"/>
      <c r="OB55" s="1004"/>
      <c r="OC55" s="1004"/>
      <c r="OD55" s="1004"/>
      <c r="OE55" s="1004"/>
      <c r="OF55" s="1004"/>
      <c r="OG55" s="1004"/>
      <c r="OH55" s="1004"/>
      <c r="OI55" s="1004"/>
      <c r="OJ55" s="1008"/>
      <c r="OK55" s="1008"/>
      <c r="OL55" s="1008"/>
      <c r="OM55" s="1008"/>
      <c r="ON55" s="1008"/>
      <c r="OO55" s="1008"/>
      <c r="OR55" s="1185"/>
      <c r="OS55" s="1185"/>
      <c r="OT55" s="1185"/>
      <c r="OU55" s="1185"/>
      <c r="OV55" s="1185"/>
      <c r="OW55" s="1185"/>
      <c r="OX55" s="1185"/>
      <c r="OY55" s="1185"/>
      <c r="OZ55" s="1185"/>
      <c r="PA55" s="1185"/>
      <c r="PB55" s="1185"/>
      <c r="PC55" s="1185"/>
      <c r="PD55" s="1185"/>
      <c r="PE55" s="1185"/>
      <c r="PF55" s="1185"/>
      <c r="PG55" s="1185"/>
      <c r="PH55" s="1185"/>
      <c r="PI55" s="1185"/>
      <c r="PJ55" s="1185"/>
      <c r="PK55" s="1185"/>
      <c r="PL55" s="1185"/>
      <c r="PM55" s="1185"/>
      <c r="PN55" s="1185"/>
      <c r="PO55" s="1185"/>
      <c r="PP55" s="1185"/>
      <c r="PQ55" s="1185"/>
      <c r="PR55" s="1185"/>
      <c r="PS55" s="1185"/>
      <c r="PT55" s="1185"/>
      <c r="PU55" s="1185"/>
      <c r="PV55" s="1185"/>
      <c r="PW55" s="1185"/>
      <c r="PX55" s="1185"/>
      <c r="PY55" s="1185"/>
      <c r="PZ55" s="1185"/>
      <c r="QA55" s="1185"/>
      <c r="QB55" s="1185"/>
      <c r="QC55" s="1185"/>
      <c r="QD55" s="1185"/>
      <c r="QE55" s="1185"/>
      <c r="QF55" s="1185"/>
      <c r="QG55" s="1185"/>
      <c r="QH55" s="996"/>
      <c r="QI55" s="996"/>
      <c r="QJ55" s="996"/>
      <c r="QK55" s="996"/>
      <c r="QL55" s="996"/>
      <c r="QM55" s="996"/>
      <c r="QN55" s="996"/>
      <c r="QO55" s="996"/>
      <c r="QP55" s="996"/>
      <c r="QQ55" s="996"/>
      <c r="QR55" s="996"/>
      <c r="QS55" s="996"/>
      <c r="QT55" s="996"/>
      <c r="QU55" s="996"/>
      <c r="QV55" s="996"/>
      <c r="QW55" s="996"/>
      <c r="QX55" s="996"/>
      <c r="QY55" s="996"/>
      <c r="QZ55" s="1185"/>
      <c r="RA55" s="1185"/>
      <c r="RB55" s="1185"/>
      <c r="RC55" s="1185"/>
      <c r="RD55" s="1185"/>
      <c r="RE55" s="1185"/>
      <c r="RF55" s="1185"/>
      <c r="RG55" s="1185"/>
      <c r="RH55" s="1185"/>
      <c r="RI55" s="1185"/>
      <c r="RJ55" s="1185"/>
      <c r="RK55" s="1185"/>
      <c r="RL55" s="1185"/>
      <c r="RM55" s="1185"/>
      <c r="RN55" s="1185"/>
      <c r="RO55" s="1185"/>
      <c r="RP55" s="1185"/>
      <c r="RQ55" s="1185"/>
      <c r="RR55" s="1185"/>
      <c r="RS55" s="1185"/>
      <c r="RT55" s="1185"/>
      <c r="RU55" s="1185"/>
      <c r="RV55" s="1185"/>
      <c r="RW55" s="1185"/>
      <c r="RX55" s="1185"/>
      <c r="RY55" s="1185"/>
      <c r="RZ55" s="1185"/>
      <c r="SA55" s="1185"/>
      <c r="SB55" s="1185"/>
      <c r="SC55" s="1185"/>
      <c r="SD55" s="996"/>
      <c r="SE55" s="996"/>
      <c r="SF55" s="996"/>
      <c r="SG55" s="996"/>
      <c r="SH55" s="996"/>
      <c r="SI55" s="996"/>
      <c r="SJ55" s="996"/>
      <c r="SK55" s="996"/>
      <c r="SL55" s="996"/>
      <c r="SM55" s="996"/>
      <c r="SN55" s="996"/>
      <c r="SO55" s="996"/>
      <c r="SP55" s="996"/>
      <c r="SQ55" s="996"/>
      <c r="SR55" s="996"/>
      <c r="SS55" s="996"/>
      <c r="ST55" s="996"/>
      <c r="SU55" s="996"/>
      <c r="SV55" s="996"/>
      <c r="SW55" s="996"/>
      <c r="SX55" s="996"/>
      <c r="SY55" s="996"/>
      <c r="SZ55" s="996"/>
      <c r="TA55" s="996"/>
      <c r="TB55" s="996"/>
      <c r="TC55" s="996"/>
      <c r="TD55" s="996"/>
      <c r="TE55" s="996"/>
      <c r="TF55" s="996"/>
      <c r="TG55" s="996"/>
      <c r="TH55" s="996"/>
      <c r="TI55" s="996"/>
      <c r="TJ55" s="996"/>
      <c r="TK55" s="996"/>
      <c r="TL55" s="996"/>
      <c r="TM55" s="996"/>
      <c r="TN55" s="996"/>
      <c r="TO55" s="996"/>
      <c r="TP55" s="996"/>
      <c r="TQ55" s="996"/>
      <c r="TR55" s="996"/>
      <c r="TS55" s="996"/>
      <c r="TT55" s="996"/>
      <c r="TU55" s="996"/>
      <c r="TV55" s="996"/>
      <c r="TW55" s="996"/>
      <c r="TX55" s="996"/>
      <c r="TY55" s="996"/>
      <c r="TZ55" s="996"/>
      <c r="UA55" s="996"/>
      <c r="UB55" s="996"/>
      <c r="UC55" s="996"/>
      <c r="UD55" s="996"/>
      <c r="UE55" s="996"/>
      <c r="UF55" s="996"/>
      <c r="UG55" s="996"/>
      <c r="UH55" s="996"/>
      <c r="UI55" s="996"/>
      <c r="UJ55" s="996"/>
      <c r="UK55" s="996"/>
      <c r="UL55" s="996"/>
      <c r="UM55" s="996"/>
      <c r="UN55" s="996"/>
      <c r="UO55" s="996"/>
      <c r="UP55" s="996"/>
      <c r="UQ55" s="996"/>
      <c r="UR55" s="996"/>
      <c r="US55" s="996"/>
      <c r="UT55" s="996"/>
      <c r="UU55" s="996"/>
      <c r="UV55" s="996"/>
      <c r="UW55" s="996"/>
      <c r="UX55" s="996"/>
      <c r="UY55" s="996"/>
      <c r="UZ55" s="996"/>
      <c r="VA55" s="996"/>
      <c r="VB55" s="1185"/>
      <c r="VC55" s="1185"/>
      <c r="VD55" s="1185"/>
      <c r="VE55" s="1185"/>
      <c r="VF55" s="1185"/>
      <c r="VG55" s="1185"/>
      <c r="VH55" s="1185"/>
      <c r="VI55" s="1185"/>
      <c r="VJ55" s="1350">
        <f>VJ38-VJ51-VJ52-VJ50</f>
        <v>0</v>
      </c>
      <c r="VK55" s="1199"/>
      <c r="VL55" s="1199"/>
      <c r="VM55" s="1350">
        <f>VM38-VM51-VM52-VM50</f>
        <v>0</v>
      </c>
      <c r="VN55" s="1185"/>
      <c r="VO55" s="1185"/>
      <c r="VP55" s="1185"/>
      <c r="VQ55" s="1185"/>
      <c r="VR55" s="1185"/>
      <c r="VS55" s="1185"/>
      <c r="VT55" s="1185"/>
      <c r="VU55" s="1185"/>
      <c r="VV55" s="1185"/>
      <c r="VW55" s="1185"/>
      <c r="VX55" s="1185"/>
      <c r="VY55" s="1185"/>
      <c r="VZ55" s="1185"/>
      <c r="WA55" s="1185"/>
      <c r="WB55" s="1185"/>
      <c r="WC55" s="1185"/>
      <c r="WD55" s="1185"/>
      <c r="WE55" s="1185"/>
      <c r="WF55" s="1185"/>
      <c r="WG55" s="1185"/>
      <c r="WH55" s="1185"/>
      <c r="WI55" s="1185"/>
      <c r="WJ55" s="1185"/>
      <c r="WK55" s="1185"/>
      <c r="WL55" s="1185"/>
      <c r="WM55" s="1185"/>
      <c r="WN55" s="1185"/>
      <c r="WO55" s="1185"/>
      <c r="WP55" s="1185"/>
      <c r="WQ55" s="1185"/>
      <c r="WR55" s="1352">
        <f>WR52-WR53-WR54</f>
        <v>0</v>
      </c>
      <c r="WS55" s="1352">
        <f>WS52-WS53-WS54</f>
        <v>0</v>
      </c>
      <c r="WT55" s="1185"/>
      <c r="WU55" s="1185"/>
      <c r="WV55" s="1185"/>
      <c r="WW55" s="1185"/>
      <c r="WX55" s="1185"/>
      <c r="WY55" s="1185"/>
      <c r="WZ55" s="993"/>
      <c r="XA55" s="993"/>
      <c r="XB55" s="993"/>
      <c r="XC55" s="1354"/>
      <c r="XD55" s="1354"/>
      <c r="XE55" s="1354"/>
      <c r="XF55" s="996"/>
      <c r="XG55" s="996"/>
      <c r="XH55" s="996"/>
      <c r="XI55" s="996"/>
      <c r="XJ55" s="993"/>
      <c r="XK55" s="993"/>
      <c r="XL55" s="993"/>
      <c r="XM55" s="993"/>
      <c r="XN55" s="993"/>
      <c r="XO55" s="993"/>
      <c r="XP55" s="993"/>
      <c r="XQ55" s="993"/>
      <c r="XR55" s="993"/>
      <c r="XS55" s="993"/>
      <c r="XT55" s="993"/>
      <c r="XU55" s="993"/>
      <c r="XV55" s="993"/>
      <c r="XW55" s="993"/>
      <c r="XX55" s="1185"/>
      <c r="XY55" s="1185"/>
      <c r="XZ55" s="1185"/>
      <c r="YA55" s="1185"/>
      <c r="YB55" s="1185"/>
      <c r="YC55" s="1185"/>
      <c r="YD55" s="1185"/>
      <c r="YE55" s="1185"/>
      <c r="YF55" s="1185"/>
      <c r="YG55" s="1185"/>
      <c r="YH55" s="1185"/>
      <c r="YI55" s="1185"/>
      <c r="YJ55" s="1185"/>
      <c r="YK55" s="1185"/>
      <c r="YL55" s="1185"/>
      <c r="YM55" s="1185"/>
      <c r="YN55" s="1185"/>
      <c r="YO55" s="1185"/>
      <c r="YP55" s="1185"/>
      <c r="YQ55" s="1185"/>
      <c r="YR55" s="1185"/>
      <c r="YS55" s="1185"/>
      <c r="YT55" s="1185"/>
      <c r="YU55" s="1185"/>
      <c r="YV55" s="1185"/>
      <c r="YW55" s="1185"/>
      <c r="YX55" s="1185"/>
      <c r="YY55" s="1185"/>
      <c r="YZ55" s="1185"/>
      <c r="ZA55" s="1185"/>
      <c r="ZB55" s="1185"/>
      <c r="ZC55" s="1185"/>
      <c r="ZD55" s="1185"/>
      <c r="ZE55" s="1185"/>
      <c r="ZF55" s="1185"/>
      <c r="ZG55" s="1185"/>
      <c r="ZH55" s="1185"/>
      <c r="ZI55" s="1185"/>
      <c r="ZJ55" s="1185"/>
      <c r="ZK55" s="1185"/>
      <c r="ZL55" s="1185"/>
      <c r="ZM55" s="1185"/>
      <c r="ZN55" s="1185"/>
      <c r="ZO55" s="1185"/>
      <c r="ZP55" s="1185"/>
      <c r="ZQ55" s="1185"/>
      <c r="ZR55" s="1185"/>
      <c r="ZS55" s="1185"/>
      <c r="ZT55" s="1185"/>
      <c r="ZU55" s="1185"/>
      <c r="ZV55" s="1185"/>
      <c r="ZW55" s="1185"/>
      <c r="ZX55" s="1185"/>
      <c r="ZY55" s="1185"/>
      <c r="ZZ55" s="1185"/>
      <c r="AAA55" s="1185"/>
      <c r="AAB55" s="1185"/>
      <c r="AAC55" s="1185"/>
      <c r="AAD55" s="694"/>
      <c r="AAE55" s="694"/>
      <c r="AAF55" s="694"/>
      <c r="AAG55" s="694"/>
      <c r="AAH55" s="694"/>
      <c r="AAI55" s="694"/>
      <c r="AAJ55" s="694"/>
      <c r="AAK55" s="694"/>
      <c r="AAL55" s="694"/>
      <c r="AAM55" s="694"/>
      <c r="AAN55" s="694"/>
      <c r="AAO55" s="694"/>
      <c r="AAP55" s="694"/>
      <c r="AAQ55" s="694"/>
      <c r="AAR55" s="694"/>
      <c r="AAS55" s="694"/>
      <c r="AAT55" s="694"/>
      <c r="AAU55" s="694"/>
      <c r="AAV55" s="694"/>
      <c r="AAW55" s="694"/>
    </row>
    <row r="56" spans="1:725" ht="16.5" x14ac:dyDescent="0.25">
      <c r="XC56" s="1355"/>
      <c r="XD56" s="1355"/>
      <c r="XE56" s="1355"/>
      <c r="XF56" s="996"/>
      <c r="XG56" s="996"/>
      <c r="XH56" s="996"/>
      <c r="XI56" s="996"/>
    </row>
    <row r="57" spans="1:725" ht="16.5" x14ac:dyDescent="0.25">
      <c r="XC57" s="1355"/>
      <c r="XD57" s="1355"/>
      <c r="XE57" s="1355"/>
      <c r="XF57" s="996"/>
      <c r="XG57" s="996"/>
      <c r="XH57" s="996"/>
      <c r="XI57" s="996"/>
    </row>
    <row r="58" spans="1:725" ht="16.5" x14ac:dyDescent="0.25">
      <c r="XC58" s="1355"/>
      <c r="XD58" s="1355"/>
      <c r="XE58" s="1355"/>
      <c r="XF58" s="996"/>
      <c r="XG58" s="996"/>
      <c r="XH58" s="996"/>
      <c r="XI58" s="996"/>
    </row>
    <row r="59" spans="1:725" ht="16.5" x14ac:dyDescent="0.25">
      <c r="XC59" s="1355"/>
      <c r="XD59" s="1355"/>
      <c r="XE59" s="1355"/>
      <c r="XF59" s="996"/>
      <c r="XG59" s="996"/>
      <c r="XH59" s="996"/>
      <c r="XI59" s="996"/>
    </row>
    <row r="60" spans="1:725" ht="16.5" x14ac:dyDescent="0.25">
      <c r="XC60" s="1355"/>
      <c r="XD60" s="1355"/>
      <c r="XE60" s="1355"/>
      <c r="XF60" s="996"/>
      <c r="XG60" s="996"/>
      <c r="XH60" s="996"/>
      <c r="XI60" s="996"/>
    </row>
    <row r="61" spans="1:725" ht="16.5" x14ac:dyDescent="0.25">
      <c r="XC61" s="1355"/>
      <c r="XD61" s="1355"/>
      <c r="XE61" s="1355"/>
      <c r="XF61" s="996"/>
      <c r="XG61" s="996"/>
      <c r="XH61" s="996"/>
      <c r="XI61" s="996"/>
    </row>
    <row r="62" spans="1:725" ht="16.5" x14ac:dyDescent="0.25">
      <c r="XC62" s="1355"/>
      <c r="XD62" s="1355"/>
      <c r="XE62" s="1355"/>
      <c r="XF62" s="996"/>
      <c r="XG62" s="996"/>
      <c r="XH62" s="996"/>
      <c r="XI62" s="996"/>
    </row>
    <row r="63" spans="1:725" ht="16.5" x14ac:dyDescent="0.25">
      <c r="XC63" s="1355"/>
      <c r="XD63" s="1355"/>
      <c r="XE63" s="1355"/>
      <c r="XF63" s="996"/>
      <c r="XG63" s="996"/>
      <c r="XH63" s="996"/>
      <c r="XI63" s="996"/>
    </row>
    <row r="64" spans="1:725" ht="16.5" x14ac:dyDescent="0.25">
      <c r="XC64" s="1355"/>
      <c r="XD64" s="1355"/>
      <c r="XE64" s="1355"/>
      <c r="XF64" s="996"/>
      <c r="XG64" s="996"/>
      <c r="XH64" s="996"/>
      <c r="XI64" s="996"/>
    </row>
    <row r="65" spans="627:633" ht="16.5" x14ac:dyDescent="0.25">
      <c r="XC65" s="1355"/>
      <c r="XD65" s="1355"/>
      <c r="XE65" s="1355"/>
      <c r="XF65" s="996"/>
      <c r="XG65" s="996"/>
      <c r="XH65" s="996"/>
      <c r="XI65" s="996"/>
    </row>
    <row r="66" spans="627:633" ht="16.5" x14ac:dyDescent="0.25">
      <c r="XC66" s="1355"/>
      <c r="XD66" s="1355"/>
      <c r="XE66" s="1355"/>
      <c r="XF66" s="996"/>
      <c r="XG66" s="996"/>
      <c r="XH66" s="996"/>
      <c r="XI66" s="996"/>
    </row>
    <row r="67" spans="627:633" ht="16.5" x14ac:dyDescent="0.25">
      <c r="XC67" s="1355"/>
      <c r="XD67" s="1355"/>
      <c r="XE67" s="1355"/>
      <c r="XF67" s="996"/>
      <c r="XG67" s="996"/>
      <c r="XH67" s="996"/>
      <c r="XI67" s="996"/>
    </row>
    <row r="68" spans="627:633" ht="16.5" x14ac:dyDescent="0.25">
      <c r="XC68" s="1355"/>
      <c r="XD68" s="1355"/>
      <c r="XE68" s="1355"/>
      <c r="XF68" s="996"/>
      <c r="XG68" s="996"/>
      <c r="XH68" s="996"/>
      <c r="XI68" s="996"/>
    </row>
    <row r="69" spans="627:633" ht="16.5" x14ac:dyDescent="0.25">
      <c r="XC69" s="1355"/>
      <c r="XD69" s="1355"/>
      <c r="XE69" s="1355"/>
      <c r="XF69" s="996"/>
      <c r="XG69" s="996"/>
      <c r="XH69" s="996"/>
      <c r="XI69" s="996"/>
    </row>
    <row r="70" spans="627:633" ht="16.5" x14ac:dyDescent="0.25">
      <c r="XC70" s="1355"/>
      <c r="XD70" s="1355"/>
      <c r="XE70" s="1355"/>
      <c r="XF70" s="996"/>
      <c r="XG70" s="996"/>
      <c r="XH70" s="996"/>
      <c r="XI70" s="996"/>
    </row>
    <row r="71" spans="627:633" ht="16.5" x14ac:dyDescent="0.25">
      <c r="XC71" s="1355"/>
      <c r="XD71" s="1355"/>
      <c r="XE71" s="1355"/>
      <c r="XF71" s="996"/>
      <c r="XG71" s="996"/>
      <c r="XH71" s="996"/>
      <c r="XI71" s="996"/>
    </row>
    <row r="72" spans="627:633" ht="16.5" x14ac:dyDescent="0.25">
      <c r="XC72" s="1355"/>
      <c r="XD72" s="1355"/>
      <c r="XE72" s="1355"/>
      <c r="XF72" s="996"/>
      <c r="XG72" s="996"/>
      <c r="XH72" s="996"/>
      <c r="XI72" s="996"/>
    </row>
    <row r="73" spans="627:633" ht="16.5" x14ac:dyDescent="0.25">
      <c r="XC73" s="1355"/>
      <c r="XD73" s="1355"/>
      <c r="XE73" s="1355"/>
      <c r="XF73" s="996"/>
      <c r="XG73" s="996"/>
      <c r="XH73" s="996"/>
      <c r="XI73" s="996"/>
    </row>
    <row r="74" spans="627:633" ht="16.5" x14ac:dyDescent="0.25">
      <c r="XC74" s="1355"/>
      <c r="XD74" s="1355"/>
      <c r="XE74" s="1355"/>
      <c r="XF74" s="996"/>
      <c r="XG74" s="996"/>
      <c r="XH74" s="996"/>
      <c r="XI74" s="996"/>
    </row>
    <row r="75" spans="627:633" ht="16.5" x14ac:dyDescent="0.25">
      <c r="XC75" s="1355"/>
      <c r="XD75" s="1355"/>
      <c r="XE75" s="1355"/>
      <c r="XF75" s="996"/>
      <c r="XG75" s="996"/>
      <c r="XH75" s="996"/>
      <c r="XI75" s="996"/>
    </row>
  </sheetData>
  <mergeCells count="397">
    <mergeCell ref="PX9:QG9"/>
    <mergeCell ref="PX10:QG10"/>
    <mergeCell ref="PX11:QG11"/>
    <mergeCell ref="V45:AC45"/>
    <mergeCell ref="CB9:CG9"/>
    <mergeCell ref="CB8:CG8"/>
    <mergeCell ref="CB45:CG45"/>
    <mergeCell ref="IV9:JA11"/>
    <mergeCell ref="JB9:JE9"/>
    <mergeCell ref="JB10:JC11"/>
    <mergeCell ref="JD10:JE11"/>
    <mergeCell ref="IP45:JE45"/>
    <mergeCell ref="CP45:CU45"/>
    <mergeCell ref="CV45:DS45"/>
    <mergeCell ref="EB11:EG11"/>
    <mergeCell ref="EH11:EM11"/>
    <mergeCell ref="EN11:EU11"/>
    <mergeCell ref="EV11:FA11"/>
    <mergeCell ref="FB11:FG11"/>
    <mergeCell ref="FZ11:GE11"/>
    <mergeCell ref="HL9:HQ9"/>
    <mergeCell ref="HR9:HW9"/>
    <mergeCell ref="ID9:IO9"/>
    <mergeCell ref="IP9:IU9"/>
    <mergeCell ref="IJ10:IO11"/>
    <mergeCell ref="IP10:IU10"/>
    <mergeCell ref="FH9:FM11"/>
    <mergeCell ref="DT45:EA45"/>
    <mergeCell ref="AAF45:AAM45"/>
    <mergeCell ref="AAN45:AAU45"/>
    <mergeCell ref="WF45:WK45"/>
    <mergeCell ref="WL45:WQ45"/>
    <mergeCell ref="WT45:WY45"/>
    <mergeCell ref="WZ45:XE45"/>
    <mergeCell ref="XF45:XK45"/>
    <mergeCell ref="XL45:XW45"/>
    <mergeCell ref="RF45:SC45"/>
    <mergeCell ref="SD45:SI45"/>
    <mergeCell ref="WB45:WC45"/>
    <mergeCell ref="WD45:WE45"/>
    <mergeCell ref="SJ45:SQ45"/>
    <mergeCell ref="SR45:SW45"/>
    <mergeCell ref="SX45:VA45"/>
    <mergeCell ref="VB45:VC45"/>
    <mergeCell ref="VD45:VI45"/>
    <mergeCell ref="VP45:VQ45"/>
    <mergeCell ref="VR45:VS45"/>
    <mergeCell ref="VT45:VW45"/>
    <mergeCell ref="VX45:VY45"/>
    <mergeCell ref="VZ45:WA45"/>
    <mergeCell ref="XX45:AAC45"/>
    <mergeCell ref="EB45:EG45"/>
    <mergeCell ref="EH45:EM45"/>
    <mergeCell ref="EN45:EU45"/>
    <mergeCell ref="EV45:FA45"/>
    <mergeCell ref="FB45:FY45"/>
    <mergeCell ref="OJ45:OQ45"/>
    <mergeCell ref="OR45:PW45"/>
    <mergeCell ref="PX45:QY45"/>
    <mergeCell ref="GF45:GU45"/>
    <mergeCell ref="FZ45:GE45"/>
    <mergeCell ref="GV45:HK45"/>
    <mergeCell ref="HL45:HQ45"/>
    <mergeCell ref="HR45:IO45"/>
    <mergeCell ref="JF45:JK45"/>
    <mergeCell ref="JL45:JQ45"/>
    <mergeCell ref="JR45:KO45"/>
    <mergeCell ref="KP45:LU45"/>
    <mergeCell ref="LV45:NA45"/>
    <mergeCell ref="NB45:OI45"/>
    <mergeCell ref="QZ45:RE45"/>
    <mergeCell ref="IP11:IU11"/>
    <mergeCell ref="JF11:JK11"/>
    <mergeCell ref="KZ9:LI11"/>
    <mergeCell ref="WT10:WY10"/>
    <mergeCell ref="WZ10:XE10"/>
    <mergeCell ref="XF10:XK10"/>
    <mergeCell ref="NB9:NQ9"/>
    <mergeCell ref="NB10:NQ10"/>
    <mergeCell ref="SD9:SI9"/>
    <mergeCell ref="SJ9:SQ9"/>
    <mergeCell ref="SR9:SW9"/>
    <mergeCell ref="SX9:TK9"/>
    <mergeCell ref="TL9:TY11"/>
    <mergeCell ref="RR10:RW11"/>
    <mergeCell ref="RX10:SC11"/>
    <mergeCell ref="SD10:SI10"/>
    <mergeCell ref="LJ9:LU9"/>
    <mergeCell ref="LV9:MC9"/>
    <mergeCell ref="MD9:MK11"/>
    <mergeCell ref="JF9:JK9"/>
    <mergeCell ref="JF10:JK10"/>
    <mergeCell ref="ML10:MS11"/>
    <mergeCell ref="PH9:PW9"/>
    <mergeCell ref="QN10:QS11"/>
    <mergeCell ref="F45:M45"/>
    <mergeCell ref="N45:U45"/>
    <mergeCell ref="AD45:AM45"/>
    <mergeCell ref="AP45:BG45"/>
    <mergeCell ref="WB11:WC11"/>
    <mergeCell ref="WD11:WE11"/>
    <mergeCell ref="WF11:WK11"/>
    <mergeCell ref="WL11:WQ11"/>
    <mergeCell ref="OR11:OY11"/>
    <mergeCell ref="QZ11:RE11"/>
    <mergeCell ref="RF11:RK11"/>
    <mergeCell ref="SD11:SI11"/>
    <mergeCell ref="SJ11:SQ11"/>
    <mergeCell ref="JL11:JQ11"/>
    <mergeCell ref="JR11:JW11"/>
    <mergeCell ref="KP11:KY11"/>
    <mergeCell ref="LV11:MC11"/>
    <mergeCell ref="NB11:NQ11"/>
    <mergeCell ref="BH45:BS45"/>
    <mergeCell ref="BT45:CA45"/>
    <mergeCell ref="CH45:CO45"/>
    <mergeCell ref="MT10:NA11"/>
    <mergeCell ref="OJ10:OQ10"/>
    <mergeCell ref="OR10:OY10"/>
    <mergeCell ref="AAR10:AAS11"/>
    <mergeCell ref="AAT10:AAU11"/>
    <mergeCell ref="ZF10:ZQ11"/>
    <mergeCell ref="ZR10:AAC11"/>
    <mergeCell ref="VZ11:WA11"/>
    <mergeCell ref="SR10:SW10"/>
    <mergeCell ref="SX10:TK10"/>
    <mergeCell ref="TZ10:UM11"/>
    <mergeCell ref="UN10:VA11"/>
    <mergeCell ref="VB10:VC10"/>
    <mergeCell ref="VF10:VG11"/>
    <mergeCell ref="SR11:SW11"/>
    <mergeCell ref="SX11:TK11"/>
    <mergeCell ref="VB11:VC11"/>
    <mergeCell ref="AAF11:AAG11"/>
    <mergeCell ref="AAN11:AAO11"/>
    <mergeCell ref="WT11:WY11"/>
    <mergeCell ref="WZ11:XE11"/>
    <mergeCell ref="XT10:XU11"/>
    <mergeCell ref="XV10:XW11"/>
    <mergeCell ref="XX10:YS10"/>
    <mergeCell ref="XF11:XK11"/>
    <mergeCell ref="XL11:XO11"/>
    <mergeCell ref="XX11:YS11"/>
    <mergeCell ref="AAJ10:AAK11"/>
    <mergeCell ref="AAL10:AAM11"/>
    <mergeCell ref="AAN10:AAO10"/>
    <mergeCell ref="OJ11:OQ11"/>
    <mergeCell ref="AAH9:AAI11"/>
    <mergeCell ref="AAJ9:AAM9"/>
    <mergeCell ref="AAN9:AAO9"/>
    <mergeCell ref="VM8:VM12"/>
    <mergeCell ref="VN8:VN12"/>
    <mergeCell ref="VO8:VO12"/>
    <mergeCell ref="VP8:VQ8"/>
    <mergeCell ref="VR8:VS8"/>
    <mergeCell ref="VT8:VW8"/>
    <mergeCell ref="VP9:VQ9"/>
    <mergeCell ref="VR9:VS9"/>
    <mergeCell ref="VT9:VU11"/>
    <mergeCell ref="VV9:VW11"/>
    <mergeCell ref="WD10:WE10"/>
    <mergeCell ref="WF10:WK10"/>
    <mergeCell ref="XX8:AAC8"/>
    <mergeCell ref="WR8:WR12"/>
    <mergeCell ref="WS8:WS12"/>
    <mergeCell ref="WT8:WY8"/>
    <mergeCell ref="WZ8:XE8"/>
    <mergeCell ref="V11:AC11"/>
    <mergeCell ref="AP11:AU11"/>
    <mergeCell ref="BH11:BK11"/>
    <mergeCell ref="XL10:XO10"/>
    <mergeCell ref="VH10:VI11"/>
    <mergeCell ref="VP10:VQ10"/>
    <mergeCell ref="VR10:VS10"/>
    <mergeCell ref="VX10:VY10"/>
    <mergeCell ref="VZ10:WA10"/>
    <mergeCell ref="WB10:WC10"/>
    <mergeCell ref="VP11:VQ11"/>
    <mergeCell ref="VR11:VS11"/>
    <mergeCell ref="VX11:VY11"/>
    <mergeCell ref="CH11:CI11"/>
    <mergeCell ref="CP11:CU11"/>
    <mergeCell ref="CV11:DI11"/>
    <mergeCell ref="DT11:EA11"/>
    <mergeCell ref="PH10:PO11"/>
    <mergeCell ref="PP10:PW11"/>
    <mergeCell ref="LJ10:LO11"/>
    <mergeCell ref="LP10:LU11"/>
    <mergeCell ref="SJ10:SQ10"/>
    <mergeCell ref="NX10:OC11"/>
    <mergeCell ref="OD10:OI11"/>
    <mergeCell ref="AL10:AM11"/>
    <mergeCell ref="AP10:AU10"/>
    <mergeCell ref="AZ10:BC11"/>
    <mergeCell ref="GV10:HC10"/>
    <mergeCell ref="HH10:HI11"/>
    <mergeCell ref="HJ10:HK11"/>
    <mergeCell ref="DT10:EA10"/>
    <mergeCell ref="EB10:EG10"/>
    <mergeCell ref="EH10:EM10"/>
    <mergeCell ref="EN10:EU10"/>
    <mergeCell ref="EV10:FA10"/>
    <mergeCell ref="FB10:FG10"/>
    <mergeCell ref="BT11:BU11"/>
    <mergeCell ref="BP10:BQ11"/>
    <mergeCell ref="BR10:BS11"/>
    <mergeCell ref="BT10:BU10"/>
    <mergeCell ref="BX10:BY11"/>
    <mergeCell ref="BZ10:CA11"/>
    <mergeCell ref="CH10:CI10"/>
    <mergeCell ref="CB10:CG10"/>
    <mergeCell ref="GF11:GK11"/>
    <mergeCell ref="GV11:HC11"/>
    <mergeCell ref="CB11:CG11"/>
    <mergeCell ref="AAP9:AAQ11"/>
    <mergeCell ref="AAR9:AAU9"/>
    <mergeCell ref="F10:G10"/>
    <mergeCell ref="J10:K11"/>
    <mergeCell ref="L10:M11"/>
    <mergeCell ref="N10:O10"/>
    <mergeCell ref="R10:S11"/>
    <mergeCell ref="XP9:XS11"/>
    <mergeCell ref="XT9:XW9"/>
    <mergeCell ref="XX9:YS9"/>
    <mergeCell ref="YT9:ZE11"/>
    <mergeCell ref="ZF9:AAC9"/>
    <mergeCell ref="AAF9:AAG9"/>
    <mergeCell ref="AAF10:AAG10"/>
    <mergeCell ref="VX9:VY9"/>
    <mergeCell ref="VZ9:WA9"/>
    <mergeCell ref="WB9:WC9"/>
    <mergeCell ref="WD9:WE9"/>
    <mergeCell ref="WF9:WK9"/>
    <mergeCell ref="T10:U11"/>
    <mergeCell ref="RR9:SC9"/>
    <mergeCell ref="HL10:HQ10"/>
    <mergeCell ref="HR10:HW10"/>
    <mergeCell ref="ID10:II11"/>
    <mergeCell ref="HH9:HK9"/>
    <mergeCell ref="FB9:FG9"/>
    <mergeCell ref="FN9:FY9"/>
    <mergeCell ref="FZ9:GE9"/>
    <mergeCell ref="GF9:GK9"/>
    <mergeCell ref="GV9:HC9"/>
    <mergeCell ref="HD9:HG11"/>
    <mergeCell ref="FN10:FS11"/>
    <mergeCell ref="FT10:FY11"/>
    <mergeCell ref="FZ10:GE10"/>
    <mergeCell ref="GF10:GK10"/>
    <mergeCell ref="HX9:IC11"/>
    <mergeCell ref="HL11:HQ11"/>
    <mergeCell ref="HR11:HW11"/>
    <mergeCell ref="CJ9:CK11"/>
    <mergeCell ref="CL9:CO9"/>
    <mergeCell ref="CP9:CU9"/>
    <mergeCell ref="CV9:DI9"/>
    <mergeCell ref="DJ9:DO11"/>
    <mergeCell ref="DP9:DS9"/>
    <mergeCell ref="CV10:DI10"/>
    <mergeCell ref="DP10:DQ11"/>
    <mergeCell ref="DR10:DS11"/>
    <mergeCell ref="CL10:CM11"/>
    <mergeCell ref="CN10:CO11"/>
    <mergeCell ref="CP10:CU10"/>
    <mergeCell ref="DT9:EA9"/>
    <mergeCell ref="EB9:EG9"/>
    <mergeCell ref="EH9:EM9"/>
    <mergeCell ref="EN9:EU9"/>
    <mergeCell ref="EV9:FA9"/>
    <mergeCell ref="GL9:GQ11"/>
    <mergeCell ref="GR9:GU9"/>
    <mergeCell ref="GR10:GS11"/>
    <mergeCell ref="GT10:GU11"/>
    <mergeCell ref="XF8:XK8"/>
    <mergeCell ref="XL8:XW8"/>
    <mergeCell ref="WT9:WY9"/>
    <mergeCell ref="WZ9:XE9"/>
    <mergeCell ref="XF9:XK9"/>
    <mergeCell ref="XL9:XO9"/>
    <mergeCell ref="WL10:WQ10"/>
    <mergeCell ref="WL9:WQ9"/>
    <mergeCell ref="VX8:VY8"/>
    <mergeCell ref="VZ8:WA8"/>
    <mergeCell ref="WB8:WC8"/>
    <mergeCell ref="WD8:WE8"/>
    <mergeCell ref="WF8:WK8"/>
    <mergeCell ref="WL8:WQ8"/>
    <mergeCell ref="SD8:SI8"/>
    <mergeCell ref="SJ8:SQ8"/>
    <mergeCell ref="JL8:JQ8"/>
    <mergeCell ref="JR8:KO8"/>
    <mergeCell ref="KP8:LU8"/>
    <mergeCell ref="LV8:NA8"/>
    <mergeCell ref="NB8:OI8"/>
    <mergeCell ref="OJ8:OQ8"/>
    <mergeCell ref="SR8:SW8"/>
    <mergeCell ref="SX8:VA8"/>
    <mergeCell ref="VB8:VI8"/>
    <mergeCell ref="VJ8:VJ12"/>
    <mergeCell ref="VK8:VK12"/>
    <mergeCell ref="VL8:VL12"/>
    <mergeCell ref="VB9:VC9"/>
    <mergeCell ref="VD9:VE11"/>
    <mergeCell ref="VF9:VI9"/>
    <mergeCell ref="TZ9:VA9"/>
    <mergeCell ref="JR9:JW9"/>
    <mergeCell ref="JX9:KC11"/>
    <mergeCell ref="KD9:KO9"/>
    <mergeCell ref="KP9:KY9"/>
    <mergeCell ref="JL10:JQ10"/>
    <mergeCell ref="JR10:JW10"/>
    <mergeCell ref="KD10:KI11"/>
    <mergeCell ref="KJ10:KO11"/>
    <mergeCell ref="KP10:KY10"/>
    <mergeCell ref="LV10:MC10"/>
    <mergeCell ref="ML9:NA9"/>
    <mergeCell ref="FB8:FY8"/>
    <mergeCell ref="FZ8:GE8"/>
    <mergeCell ref="OR8:PW8"/>
    <mergeCell ref="PX8:QY8"/>
    <mergeCell ref="QZ8:RE8"/>
    <mergeCell ref="RF8:SC8"/>
    <mergeCell ref="GF8:GU8"/>
    <mergeCell ref="IP8:JE8"/>
    <mergeCell ref="QH9:QM11"/>
    <mergeCell ref="QN9:QY9"/>
    <mergeCell ref="QZ9:RE9"/>
    <mergeCell ref="RF9:RK9"/>
    <mergeCell ref="RL9:RQ11"/>
    <mergeCell ref="RF10:RK10"/>
    <mergeCell ref="NR9:NW11"/>
    <mergeCell ref="NX9:OI9"/>
    <mergeCell ref="QT10:QY11"/>
    <mergeCell ref="QZ10:RE10"/>
    <mergeCell ref="OJ9:OQ9"/>
    <mergeCell ref="OR9:OY9"/>
    <mergeCell ref="OZ9:PG11"/>
    <mergeCell ref="JL9:JQ9"/>
    <mergeCell ref="VJ7:VU7"/>
    <mergeCell ref="AAF7:AAM8"/>
    <mergeCell ref="AAN7:AAU8"/>
    <mergeCell ref="D8:D12"/>
    <mergeCell ref="E8:E12"/>
    <mergeCell ref="F8:M8"/>
    <mergeCell ref="N8:U8"/>
    <mergeCell ref="V8:AM8"/>
    <mergeCell ref="WR7:XC7"/>
    <mergeCell ref="BT8:CA8"/>
    <mergeCell ref="CH8:CO8"/>
    <mergeCell ref="CP8:CU8"/>
    <mergeCell ref="CV8:DS8"/>
    <mergeCell ref="DT8:EA8"/>
    <mergeCell ref="AAD7:AAD12"/>
    <mergeCell ref="AAE7:AAE12"/>
    <mergeCell ref="GV8:HK8"/>
    <mergeCell ref="HL8:HQ8"/>
    <mergeCell ref="HR8:IO8"/>
    <mergeCell ref="JF8:JK8"/>
    <mergeCell ref="EB8:EG8"/>
    <mergeCell ref="EH8:EM8"/>
    <mergeCell ref="EN8:EU8"/>
    <mergeCell ref="BL9:BO11"/>
    <mergeCell ref="E2:J2"/>
    <mergeCell ref="E3:J3"/>
    <mergeCell ref="B9:C11"/>
    <mergeCell ref="F9:G9"/>
    <mergeCell ref="H9:I11"/>
    <mergeCell ref="J9:M9"/>
    <mergeCell ref="N9:O9"/>
    <mergeCell ref="P9:Q11"/>
    <mergeCell ref="R9:U9"/>
    <mergeCell ref="F11:G11"/>
    <mergeCell ref="N11:O11"/>
    <mergeCell ref="EV8:FA8"/>
    <mergeCell ref="A6:A12"/>
    <mergeCell ref="B6:C8"/>
    <mergeCell ref="AN8:AN12"/>
    <mergeCell ref="AO8:AO12"/>
    <mergeCell ref="AP8:BG8"/>
    <mergeCell ref="BH8:BS8"/>
    <mergeCell ref="D7:M7"/>
    <mergeCell ref="V9:AC9"/>
    <mergeCell ref="AD9:AI11"/>
    <mergeCell ref="AJ9:AM9"/>
    <mergeCell ref="AP9:AU9"/>
    <mergeCell ref="AV9:AY11"/>
    <mergeCell ref="AZ9:BG9"/>
    <mergeCell ref="BH9:BK9"/>
    <mergeCell ref="BD10:BG11"/>
    <mergeCell ref="BH10:BK10"/>
    <mergeCell ref="BP9:BS9"/>
    <mergeCell ref="BT9:BU9"/>
    <mergeCell ref="BV9:BW11"/>
    <mergeCell ref="BX9:CA9"/>
    <mergeCell ref="CH9:CI9"/>
    <mergeCell ref="V10:AC10"/>
    <mergeCell ref="AJ10:AK11"/>
  </mergeCells>
  <pageMargins left="0.23622047244094491" right="0.19685039370078741" top="0.39370078740157483" bottom="0.39370078740157483" header="0.31496062992125984" footer="0.31496062992125984"/>
  <pageSetup paperSize="9" scale="10" orientation="landscape" horizontalDpi="300" verticalDpi="300" r:id="rId1"/>
  <headerFooter>
    <oddFooter>&amp;L&amp;P&amp;R&amp;Z&amp;F&amp;A</oddFooter>
  </headerFooter>
  <colBreaks count="4" manualBreakCount="4">
    <brk id="179" max="44" man="1"/>
    <brk id="428" max="44" man="1"/>
    <brk id="525" max="44" man="1"/>
    <brk id="647" max="4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H34"/>
  <sheetViews>
    <sheetView zoomScaleNormal="100" zoomScaleSheetLayoutView="80" workbookViewId="0">
      <pane xSplit="7" ySplit="4" topLeftCell="H5" activePane="bottomRight" state="frozen"/>
      <selection pane="topRight" activeCell="H1" sqref="H1"/>
      <selection pane="bottomLeft" activeCell="A5" sqref="A5"/>
      <selection pane="bottomRight" activeCell="E26" sqref="E26"/>
    </sheetView>
  </sheetViews>
  <sheetFormatPr defaultColWidth="8.7109375" defaultRowHeight="12.75" x14ac:dyDescent="0.2"/>
  <cols>
    <col min="1" max="1" width="12.5703125" style="1" customWidth="1"/>
    <col min="2" max="2" width="13.7109375" style="1" customWidth="1"/>
    <col min="3" max="3" width="16.42578125" style="1" customWidth="1"/>
    <col min="4" max="4" width="13.5703125" style="1" customWidth="1"/>
    <col min="5" max="5" width="32.42578125" style="1" customWidth="1"/>
    <col min="6" max="6" width="18.42578125" style="1" customWidth="1"/>
    <col min="7" max="7" width="18" style="1" customWidth="1"/>
    <col min="8" max="8" width="22.28515625" style="1" customWidth="1"/>
    <col min="9" max="16384" width="8.7109375" style="1"/>
  </cols>
  <sheetData>
    <row r="2" spans="1:8" ht="15" x14ac:dyDescent="0.25">
      <c r="A2" s="1820" t="s">
        <v>0</v>
      </c>
      <c r="B2" s="1820"/>
      <c r="C2" s="1820"/>
      <c r="D2" s="1820"/>
      <c r="E2" s="1820"/>
      <c r="F2" s="1820"/>
      <c r="G2" s="1820"/>
    </row>
    <row r="3" spans="1:8" ht="15" x14ac:dyDescent="0.25">
      <c r="F3" s="1155">
        <f>SUM(F6:F27)-F5</f>
        <v>0</v>
      </c>
      <c r="G3" s="1155">
        <f>SUM(G6:G27)-G5</f>
        <v>0</v>
      </c>
    </row>
    <row r="4" spans="1:8" ht="45" x14ac:dyDescent="0.2">
      <c r="A4" s="1128" t="s">
        <v>1323</v>
      </c>
      <c r="B4" s="1128" t="s">
        <v>2</v>
      </c>
      <c r="C4" s="1128" t="s">
        <v>3</v>
      </c>
      <c r="D4" s="1128" t="s">
        <v>4</v>
      </c>
      <c r="E4" s="1128" t="s">
        <v>5</v>
      </c>
      <c r="F4" s="1127" t="s">
        <v>6</v>
      </c>
      <c r="G4" s="1127" t="s">
        <v>7</v>
      </c>
      <c r="H4" s="1127" t="s">
        <v>373</v>
      </c>
    </row>
    <row r="5" spans="1:8" ht="15" x14ac:dyDescent="0.2">
      <c r="A5" s="1129"/>
      <c r="B5" s="1129"/>
      <c r="C5" s="1129" t="s">
        <v>1324</v>
      </c>
      <c r="D5" s="1129"/>
      <c r="E5" s="1130"/>
      <c r="F5" s="1133">
        <v>110488606.55</v>
      </c>
      <c r="G5" s="1133">
        <v>10488606.550000001</v>
      </c>
      <c r="H5" s="1137">
        <f>SUM(H6:H9)</f>
        <v>57638424.300000004</v>
      </c>
    </row>
    <row r="6" spans="1:8" ht="15" x14ac:dyDescent="0.2">
      <c r="A6" s="1131" t="s">
        <v>1325</v>
      </c>
      <c r="B6" s="1131" t="s">
        <v>12</v>
      </c>
      <c r="C6" s="1131" t="s">
        <v>1324</v>
      </c>
      <c r="D6" s="1131"/>
      <c r="E6" s="1132"/>
      <c r="F6" s="1136">
        <v>10407031.060000001</v>
      </c>
      <c r="G6" s="1136">
        <v>0</v>
      </c>
      <c r="H6" s="1137">
        <f>F6</f>
        <v>10407031.060000001</v>
      </c>
    </row>
    <row r="7" spans="1:8" ht="15" x14ac:dyDescent="0.2">
      <c r="A7" s="1131" t="s">
        <v>1326</v>
      </c>
      <c r="B7" s="1131" t="s">
        <v>9</v>
      </c>
      <c r="C7" s="1131" t="s">
        <v>1324</v>
      </c>
      <c r="D7" s="1131"/>
      <c r="E7" s="1132"/>
      <c r="F7" s="1136">
        <v>45574617.280000001</v>
      </c>
      <c r="G7" s="1136">
        <v>0</v>
      </c>
      <c r="H7" s="1137">
        <f t="shared" ref="H7:H9" si="0">F7</f>
        <v>45574617.280000001</v>
      </c>
    </row>
    <row r="8" spans="1:8" ht="15" x14ac:dyDescent="0.2">
      <c r="A8" s="1131" t="s">
        <v>1327</v>
      </c>
      <c r="B8" s="1131" t="s">
        <v>10</v>
      </c>
      <c r="C8" s="1131" t="s">
        <v>1324</v>
      </c>
      <c r="D8" s="1131"/>
      <c r="E8" s="1132"/>
      <c r="F8" s="1136">
        <v>1656775.96</v>
      </c>
      <c r="G8" s="1136">
        <v>0</v>
      </c>
      <c r="H8" s="1137">
        <f t="shared" si="0"/>
        <v>1656775.96</v>
      </c>
    </row>
    <row r="9" spans="1:8" ht="15" x14ac:dyDescent="0.2">
      <c r="A9" s="1131" t="s">
        <v>1328</v>
      </c>
      <c r="B9" s="1131" t="s">
        <v>1329</v>
      </c>
      <c r="C9" s="1131" t="s">
        <v>1324</v>
      </c>
      <c r="D9" s="1131"/>
      <c r="E9" s="1132"/>
      <c r="F9" s="1136">
        <v>0</v>
      </c>
      <c r="G9" s="1136">
        <v>0</v>
      </c>
      <c r="H9" s="1137">
        <f t="shared" si="0"/>
        <v>0</v>
      </c>
    </row>
    <row r="10" spans="1:8" ht="30" x14ac:dyDescent="0.2">
      <c r="A10" s="1131" t="s">
        <v>1327</v>
      </c>
      <c r="B10" s="1131" t="s">
        <v>10</v>
      </c>
      <c r="C10" s="1131" t="s">
        <v>1324</v>
      </c>
      <c r="D10" s="1131" t="s">
        <v>1330</v>
      </c>
      <c r="E10" s="1132" t="s">
        <v>34</v>
      </c>
      <c r="F10" s="1134">
        <v>1230322.1100000001</v>
      </c>
      <c r="G10" s="1134">
        <v>0</v>
      </c>
    </row>
    <row r="11" spans="1:8" ht="30" x14ac:dyDescent="0.2">
      <c r="A11" s="1131" t="s">
        <v>1327</v>
      </c>
      <c r="B11" s="1131" t="s">
        <v>10</v>
      </c>
      <c r="C11" s="1131" t="s">
        <v>1324</v>
      </c>
      <c r="D11" s="1131" t="s">
        <v>1331</v>
      </c>
      <c r="E11" s="1132" t="s">
        <v>82</v>
      </c>
      <c r="F11" s="1134">
        <v>3307047.49</v>
      </c>
      <c r="G11" s="1134">
        <v>0</v>
      </c>
    </row>
    <row r="12" spans="1:8" ht="30" x14ac:dyDescent="0.2">
      <c r="A12" s="1131" t="s">
        <v>1327</v>
      </c>
      <c r="B12" s="1131" t="s">
        <v>10</v>
      </c>
      <c r="C12" s="1131" t="s">
        <v>1324</v>
      </c>
      <c r="D12" s="1131" t="s">
        <v>1332</v>
      </c>
      <c r="E12" s="1132" t="s">
        <v>184</v>
      </c>
      <c r="F12" s="1134">
        <v>3521500</v>
      </c>
      <c r="G12" s="1134">
        <v>0</v>
      </c>
    </row>
    <row r="13" spans="1:8" ht="15" x14ac:dyDescent="0.2">
      <c r="A13" s="1131" t="s">
        <v>1327</v>
      </c>
      <c r="B13" s="1131" t="s">
        <v>10</v>
      </c>
      <c r="C13" s="1131" t="s">
        <v>1324</v>
      </c>
      <c r="D13" s="1131" t="s">
        <v>14</v>
      </c>
      <c r="E13" s="1132" t="s">
        <v>15</v>
      </c>
      <c r="F13" s="1134">
        <v>527150.19999999995</v>
      </c>
      <c r="G13" s="1134">
        <v>0</v>
      </c>
    </row>
    <row r="14" spans="1:8" ht="15" x14ac:dyDescent="0.2">
      <c r="A14" s="1131" t="s">
        <v>1327</v>
      </c>
      <c r="B14" s="1131" t="s">
        <v>10</v>
      </c>
      <c r="C14" s="1131" t="s">
        <v>1324</v>
      </c>
      <c r="D14" s="1131" t="s">
        <v>1333</v>
      </c>
      <c r="E14" s="1132" t="s">
        <v>1334</v>
      </c>
      <c r="F14" s="1134">
        <v>785285.6</v>
      </c>
      <c r="G14" s="1134">
        <v>0</v>
      </c>
    </row>
    <row r="15" spans="1:8" ht="15" x14ac:dyDescent="0.2">
      <c r="A15" s="1131" t="s">
        <v>1327</v>
      </c>
      <c r="B15" s="1131" t="s">
        <v>10</v>
      </c>
      <c r="C15" s="1131" t="s">
        <v>1324</v>
      </c>
      <c r="D15" s="1131" t="s">
        <v>1335</v>
      </c>
      <c r="E15" s="1132" t="s">
        <v>1336</v>
      </c>
      <c r="F15" s="1134">
        <v>1442339.5</v>
      </c>
      <c r="G15" s="1134">
        <v>0</v>
      </c>
    </row>
    <row r="16" spans="1:8" ht="15" x14ac:dyDescent="0.2">
      <c r="A16" s="1131" t="s">
        <v>1327</v>
      </c>
      <c r="B16" s="1131" t="s">
        <v>10</v>
      </c>
      <c r="C16" s="1131" t="s">
        <v>1324</v>
      </c>
      <c r="D16" s="1131" t="s">
        <v>1337</v>
      </c>
      <c r="E16" s="1132" t="s">
        <v>1338</v>
      </c>
      <c r="F16" s="1134">
        <v>1968929.84</v>
      </c>
      <c r="G16" s="1134">
        <v>0</v>
      </c>
    </row>
    <row r="17" spans="1:8" ht="15" x14ac:dyDescent="0.2">
      <c r="A17" s="1131" t="s">
        <v>1326</v>
      </c>
      <c r="B17" s="1131" t="s">
        <v>9</v>
      </c>
      <c r="C17" s="1131" t="s">
        <v>1324</v>
      </c>
      <c r="D17" s="1131" t="s">
        <v>19</v>
      </c>
      <c r="E17" s="1132" t="s">
        <v>20</v>
      </c>
      <c r="F17" s="1134">
        <v>10488606.550000001</v>
      </c>
      <c r="G17" s="1134">
        <v>10488606.550000001</v>
      </c>
    </row>
    <row r="18" spans="1:8" ht="15" x14ac:dyDescent="0.2">
      <c r="A18" s="1131" t="s">
        <v>1327</v>
      </c>
      <c r="B18" s="1131" t="s">
        <v>10</v>
      </c>
      <c r="C18" s="1131" t="s">
        <v>1324</v>
      </c>
      <c r="D18" s="1131" t="s">
        <v>1339</v>
      </c>
      <c r="E18" s="1132" t="s">
        <v>1340</v>
      </c>
      <c r="F18" s="1134">
        <v>1667137.96</v>
      </c>
      <c r="G18" s="1134">
        <v>0</v>
      </c>
    </row>
    <row r="19" spans="1:8" ht="15" x14ac:dyDescent="0.2">
      <c r="A19" s="1131" t="s">
        <v>1327</v>
      </c>
      <c r="B19" s="1131" t="s">
        <v>10</v>
      </c>
      <c r="C19" s="1131" t="s">
        <v>1324</v>
      </c>
      <c r="D19" s="1131" t="s">
        <v>1341</v>
      </c>
      <c r="E19" s="1132" t="s">
        <v>1342</v>
      </c>
      <c r="F19" s="1134">
        <v>3145111.6</v>
      </c>
      <c r="G19" s="1134">
        <v>0</v>
      </c>
    </row>
    <row r="20" spans="1:8" ht="15" x14ac:dyDescent="0.2">
      <c r="A20" s="1131" t="s">
        <v>1327</v>
      </c>
      <c r="B20" s="1131" t="s">
        <v>10</v>
      </c>
      <c r="C20" s="1131" t="s">
        <v>1324</v>
      </c>
      <c r="D20" s="1131" t="s">
        <v>23</v>
      </c>
      <c r="E20" s="1132" t="s">
        <v>24</v>
      </c>
      <c r="F20" s="1134">
        <v>10789701.5</v>
      </c>
      <c r="G20" s="1134">
        <v>0</v>
      </c>
    </row>
    <row r="21" spans="1:8" ht="15" x14ac:dyDescent="0.2">
      <c r="A21" s="1131" t="s">
        <v>1327</v>
      </c>
      <c r="B21" s="1131" t="s">
        <v>10</v>
      </c>
      <c r="C21" s="1131" t="s">
        <v>1324</v>
      </c>
      <c r="D21" s="1131" t="s">
        <v>1343</v>
      </c>
      <c r="E21" s="1132" t="s">
        <v>1344</v>
      </c>
      <c r="F21" s="1134">
        <v>6813576</v>
      </c>
      <c r="G21" s="1134">
        <v>0</v>
      </c>
    </row>
    <row r="22" spans="1:8" ht="15" x14ac:dyDescent="0.2">
      <c r="A22" s="1131" t="s">
        <v>1327</v>
      </c>
      <c r="B22" s="1131" t="s">
        <v>10</v>
      </c>
      <c r="C22" s="1131" t="s">
        <v>1324</v>
      </c>
      <c r="D22" s="1131" t="s">
        <v>1345</v>
      </c>
      <c r="E22" s="1132" t="s">
        <v>1346</v>
      </c>
      <c r="F22" s="1134">
        <v>1700000</v>
      </c>
      <c r="G22" s="1134">
        <v>0</v>
      </c>
    </row>
    <row r="23" spans="1:8" ht="15" x14ac:dyDescent="0.2">
      <c r="A23" s="1131" t="s">
        <v>1327</v>
      </c>
      <c r="B23" s="1131" t="s">
        <v>10</v>
      </c>
      <c r="C23" s="1131" t="s">
        <v>1324</v>
      </c>
      <c r="D23" s="1131" t="s">
        <v>1347</v>
      </c>
      <c r="E23" s="1132" t="s">
        <v>1348</v>
      </c>
      <c r="F23" s="1134">
        <v>570542.94999999995</v>
      </c>
      <c r="G23" s="1134">
        <v>0</v>
      </c>
    </row>
    <row r="24" spans="1:8" ht="15" x14ac:dyDescent="0.2">
      <c r="A24" s="1131" t="s">
        <v>1327</v>
      </c>
      <c r="B24" s="1131" t="s">
        <v>10</v>
      </c>
      <c r="C24" s="1131" t="s">
        <v>1324</v>
      </c>
      <c r="D24" s="1131" t="s">
        <v>1349</v>
      </c>
      <c r="E24" s="1132" t="s">
        <v>1350</v>
      </c>
      <c r="F24" s="1134">
        <v>1467294.42</v>
      </c>
      <c r="G24" s="1134">
        <v>0</v>
      </c>
    </row>
    <row r="25" spans="1:8" ht="15" x14ac:dyDescent="0.2">
      <c r="A25" s="1131" t="s">
        <v>1327</v>
      </c>
      <c r="B25" s="1131" t="s">
        <v>10</v>
      </c>
      <c r="C25" s="1131" t="s">
        <v>1324</v>
      </c>
      <c r="D25" s="1131" t="s">
        <v>1351</v>
      </c>
      <c r="E25" s="1132" t="s">
        <v>1352</v>
      </c>
      <c r="F25" s="1134">
        <v>960500</v>
      </c>
      <c r="G25" s="1134">
        <v>0</v>
      </c>
    </row>
    <row r="26" spans="1:8" ht="15" x14ac:dyDescent="0.2">
      <c r="A26" s="1131" t="s">
        <v>1327</v>
      </c>
      <c r="B26" s="1131" t="s">
        <v>10</v>
      </c>
      <c r="C26" s="1131" t="s">
        <v>1324</v>
      </c>
      <c r="D26" s="1131" t="s">
        <v>1353</v>
      </c>
      <c r="E26" s="1132" t="s">
        <v>1354</v>
      </c>
      <c r="F26" s="1134">
        <v>865674.53</v>
      </c>
      <c r="G26" s="1134">
        <v>0</v>
      </c>
    </row>
    <row r="27" spans="1:8" ht="15" x14ac:dyDescent="0.2">
      <c r="A27" s="1131" t="s">
        <v>1327</v>
      </c>
      <c r="B27" s="1131" t="s">
        <v>10</v>
      </c>
      <c r="C27" s="1131" t="s">
        <v>1324</v>
      </c>
      <c r="D27" s="1131" t="s">
        <v>1355</v>
      </c>
      <c r="E27" s="1132" t="s">
        <v>1356</v>
      </c>
      <c r="F27" s="1134">
        <v>1599462</v>
      </c>
      <c r="G27" s="1134">
        <v>0</v>
      </c>
    </row>
    <row r="30" spans="1:8" x14ac:dyDescent="0.2">
      <c r="D30" s="2" t="s">
        <v>10</v>
      </c>
      <c r="E30" s="3">
        <f>'Иные  МБТ'!D23</f>
        <v>44018351.659999996</v>
      </c>
      <c r="F30" s="1135">
        <f>F10+F11+F12+F13+F14+F15+F16+F18+F19+F20+F21+F22+F23+F24+F25+F26+F27</f>
        <v>42361575.700000003</v>
      </c>
      <c r="G30" s="1135">
        <f>G8+G10+G11+G12+G13+G14+G15+G16+G18+G19+G20+G21+G22+G23+G24+G25+G26+G27</f>
        <v>0</v>
      </c>
      <c r="H30" s="1135">
        <f>E30-F30</f>
        <v>1656775.9599999934</v>
      </c>
    </row>
    <row r="31" spans="1:8" x14ac:dyDescent="0.2">
      <c r="D31" s="2" t="s">
        <v>12</v>
      </c>
      <c r="E31" s="3">
        <f>'Иные  МБТ'!D41</f>
        <v>10407031.060000001</v>
      </c>
      <c r="F31" s="1135"/>
      <c r="G31" s="1135"/>
      <c r="H31" s="1135">
        <f t="shared" ref="H31:H33" si="1">E31-F31</f>
        <v>10407031.060000001</v>
      </c>
    </row>
    <row r="32" spans="1:8" x14ac:dyDescent="0.2">
      <c r="D32" s="2" t="s">
        <v>9</v>
      </c>
      <c r="E32" s="3">
        <f>'Иные  МБТ'!D50</f>
        <v>56063223.829999998</v>
      </c>
      <c r="F32" s="1135">
        <f>F17</f>
        <v>10488606.550000001</v>
      </c>
      <c r="G32" s="1135">
        <f>G7+G17</f>
        <v>10488606.550000001</v>
      </c>
      <c r="H32" s="1135">
        <f t="shared" si="1"/>
        <v>45574617.280000001</v>
      </c>
    </row>
    <row r="33" spans="4:8" x14ac:dyDescent="0.2">
      <c r="D33" s="2" t="s">
        <v>31</v>
      </c>
      <c r="E33" s="3">
        <f>SUM(E30:E32)</f>
        <v>110488606.55</v>
      </c>
      <c r="F33" s="1135">
        <f>SUM(F30:F32)</f>
        <v>52850182.25</v>
      </c>
      <c r="G33" s="1135">
        <f>SUM(G30:G32)</f>
        <v>10488606.550000001</v>
      </c>
      <c r="H33" s="1135">
        <f t="shared" si="1"/>
        <v>57638424.299999997</v>
      </c>
    </row>
    <row r="34" spans="4:8" x14ac:dyDescent="0.2">
      <c r="F34" s="4">
        <f>F33-F5+H33</f>
        <v>0</v>
      </c>
      <c r="G34" s="4">
        <f>G33-G5</f>
        <v>0</v>
      </c>
      <c r="H34" s="4">
        <f>H33-H5</f>
        <v>0</v>
      </c>
    </row>
  </sheetData>
  <mergeCells count="1">
    <mergeCell ref="A2:G2"/>
  </mergeCells>
  <pageMargins left="0.78740157480314965" right="0.39370078740157483" top="0.59055118110236227" bottom="0.59055118110236227" header="0.31496062992125984" footer="0.31496062992125984"/>
  <pageSetup paperSize="9" scale="92" fitToHeight="5" orientation="landscape" horizontalDpi="300" verticalDpi="300" r:id="rId1"/>
  <headerFooter>
    <oddFooter>&amp;R&amp;Z&amp;F&amp;A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57"/>
  <sheetViews>
    <sheetView topLeftCell="A2" zoomScale="50" zoomScaleNormal="50" zoomScaleSheetLayoutView="50" workbookViewId="0">
      <pane xSplit="1" ySplit="6" topLeftCell="AW42" activePane="bottomRight" state="frozen"/>
      <selection activeCell="A2" sqref="A2"/>
      <selection pane="topRight" activeCell="B2" sqref="B2"/>
      <selection pane="bottomLeft" activeCell="A7" sqref="A7"/>
      <selection pane="bottomRight" activeCell="BC47" sqref="BC47"/>
    </sheetView>
  </sheetViews>
  <sheetFormatPr defaultColWidth="9.140625" defaultRowHeight="16.5" x14ac:dyDescent="0.2"/>
  <cols>
    <col min="1" max="1" width="29.85546875" style="626" customWidth="1"/>
    <col min="2" max="2" width="24.140625" style="626" customWidth="1"/>
    <col min="3" max="3" width="23.140625" style="626" customWidth="1"/>
    <col min="4" max="4" width="22.42578125" style="626" customWidth="1"/>
    <col min="5" max="5" width="21.28515625" style="626" customWidth="1"/>
    <col min="6" max="6" width="23.28515625" style="626" customWidth="1"/>
    <col min="7" max="9" width="21.5703125" style="626" customWidth="1"/>
    <col min="10" max="10" width="24.42578125" style="626" customWidth="1"/>
    <col min="11" max="11" width="22" style="626" customWidth="1"/>
    <col min="12" max="12" width="24.42578125" style="626" customWidth="1"/>
    <col min="13" max="19" width="22" style="626" customWidth="1"/>
    <col min="20" max="23" width="22.140625" style="626" customWidth="1"/>
    <col min="24" max="27" width="26.42578125" style="626" customWidth="1"/>
    <col min="28" max="29" width="25" style="626" customWidth="1"/>
    <col min="30" max="30" width="25.42578125" style="594" customWidth="1"/>
    <col min="31" max="31" width="24.85546875" style="594" customWidth="1"/>
    <col min="32" max="32" width="25.42578125" style="594" customWidth="1"/>
    <col min="33" max="33" width="24.85546875" style="594" customWidth="1"/>
    <col min="34" max="35" width="25.140625" style="626" customWidth="1"/>
    <col min="36" max="37" width="22.140625" style="626" customWidth="1"/>
    <col min="38" max="39" width="22.5703125" style="626" customWidth="1"/>
    <col min="40" max="41" width="25.5703125" style="626" customWidth="1"/>
    <col min="42" max="43" width="31.140625" style="626" customWidth="1"/>
    <col min="44" max="45" width="24.42578125" style="626" customWidth="1"/>
    <col min="46" max="47" width="22" style="626" customWidth="1"/>
    <col min="48" max="49" width="23" style="626" customWidth="1"/>
    <col min="50" max="51" width="22" style="626" customWidth="1"/>
    <col min="52" max="52" width="21.140625" style="626" customWidth="1"/>
    <col min="53" max="53" width="20.5703125" style="626" customWidth="1"/>
    <col min="54" max="54" width="21.140625" style="626" customWidth="1"/>
    <col min="55" max="55" width="20.5703125" style="626" customWidth="1"/>
    <col min="56" max="59" width="22.85546875" style="626" customWidth="1"/>
    <col min="60" max="61" width="26" style="626" customWidth="1"/>
    <col min="62" max="16384" width="9.140625" style="626"/>
  </cols>
  <sheetData>
    <row r="2" spans="1:61" ht="18" x14ac:dyDescent="0.25">
      <c r="B2" s="655" t="s">
        <v>905</v>
      </c>
      <c r="I2" s="656" t="str">
        <f>'Прочая  субсидия_БП'!F2</f>
        <v>ПО  СОСТОЯНИЮ  НА  1  ИЮЛЯ  2024  ГОДА</v>
      </c>
    </row>
    <row r="3" spans="1:61" ht="18" x14ac:dyDescent="0.25">
      <c r="A3" s="1163">
        <f>'Проверочная  таблица'!C39</f>
        <v>0</v>
      </c>
      <c r="B3" s="657"/>
      <c r="C3" s="657"/>
      <c r="D3" s="657"/>
      <c r="E3" s="657"/>
      <c r="F3" s="657"/>
      <c r="G3" s="657"/>
      <c r="H3" s="657"/>
      <c r="I3" s="657"/>
    </row>
    <row r="4" spans="1:61" x14ac:dyDescent="0.25">
      <c r="L4" s="651" t="s">
        <v>897</v>
      </c>
    </row>
    <row r="5" spans="1:61" ht="301.5" customHeight="1" x14ac:dyDescent="0.2">
      <c r="A5" s="1632" t="s">
        <v>812</v>
      </c>
      <c r="B5" s="1626" t="s">
        <v>31</v>
      </c>
      <c r="C5" s="1626"/>
      <c r="D5" s="1622" t="s">
        <v>906</v>
      </c>
      <c r="E5" s="1623"/>
      <c r="F5" s="1626" t="s">
        <v>606</v>
      </c>
      <c r="G5" s="1626"/>
      <c r="H5" s="1626" t="s">
        <v>609</v>
      </c>
      <c r="I5" s="1626"/>
      <c r="J5" s="1626" t="s">
        <v>550</v>
      </c>
      <c r="K5" s="1626"/>
      <c r="L5" s="1628" t="s">
        <v>552</v>
      </c>
      <c r="M5" s="1628"/>
      <c r="N5" s="1626" t="s">
        <v>556</v>
      </c>
      <c r="O5" s="1626"/>
      <c r="P5" s="1626" t="s">
        <v>570</v>
      </c>
      <c r="Q5" s="1626"/>
      <c r="R5" s="1626" t="s">
        <v>572</v>
      </c>
      <c r="S5" s="1626"/>
      <c r="T5" s="1619" t="s">
        <v>590</v>
      </c>
      <c r="U5" s="1620"/>
      <c r="V5" s="1619" t="s">
        <v>495</v>
      </c>
      <c r="W5" s="1620"/>
      <c r="X5" s="1631" t="s">
        <v>1281</v>
      </c>
      <c r="Y5" s="1631"/>
      <c r="Z5" s="1626" t="s">
        <v>499</v>
      </c>
      <c r="AA5" s="1626"/>
      <c r="AB5" s="1619" t="s">
        <v>501</v>
      </c>
      <c r="AC5" s="1620"/>
      <c r="AD5" s="1629" t="s">
        <v>899</v>
      </c>
      <c r="AE5" s="1630"/>
      <c r="AF5" s="1619" t="s">
        <v>465</v>
      </c>
      <c r="AG5" s="1620"/>
      <c r="AH5" s="1622" t="s">
        <v>900</v>
      </c>
      <c r="AI5" s="1623"/>
      <c r="AJ5" s="1625" t="s">
        <v>901</v>
      </c>
      <c r="AK5" s="1627"/>
      <c r="AL5" s="1621" t="s">
        <v>613</v>
      </c>
      <c r="AM5" s="1621"/>
      <c r="AN5" s="1619" t="s">
        <v>508</v>
      </c>
      <c r="AO5" s="1620"/>
      <c r="AP5" s="1622" t="s">
        <v>530</v>
      </c>
      <c r="AQ5" s="1623"/>
      <c r="AR5" s="1624" t="s">
        <v>510</v>
      </c>
      <c r="AS5" s="1625"/>
      <c r="AT5" s="1626" t="s">
        <v>574</v>
      </c>
      <c r="AU5" s="1626"/>
      <c r="AV5" s="1619" t="s">
        <v>473</v>
      </c>
      <c r="AW5" s="1620"/>
      <c r="AX5" s="1619" t="s">
        <v>475</v>
      </c>
      <c r="AY5" s="1620"/>
      <c r="AZ5" s="1619" t="s">
        <v>907</v>
      </c>
      <c r="BA5" s="1620"/>
      <c r="BB5" s="1619" t="s">
        <v>908</v>
      </c>
      <c r="BC5" s="1620"/>
      <c r="BD5" s="1619" t="s">
        <v>439</v>
      </c>
      <c r="BE5" s="1620"/>
      <c r="BF5" s="1619" t="s">
        <v>909</v>
      </c>
      <c r="BG5" s="1620"/>
      <c r="BH5" s="1619" t="s">
        <v>910</v>
      </c>
      <c r="BI5" s="1620"/>
    </row>
    <row r="6" spans="1:61" ht="18" customHeight="1" x14ac:dyDescent="0.2">
      <c r="A6" s="1633"/>
      <c r="B6" s="1626"/>
      <c r="C6" s="1626"/>
      <c r="D6" s="1612" t="s">
        <v>911</v>
      </c>
      <c r="E6" s="1612"/>
      <c r="F6" s="1612" t="s">
        <v>607</v>
      </c>
      <c r="G6" s="1612"/>
      <c r="H6" s="1612" t="s">
        <v>610</v>
      </c>
      <c r="I6" s="1612"/>
      <c r="J6" s="1612" t="s">
        <v>551</v>
      </c>
      <c r="K6" s="1612"/>
      <c r="L6" s="1612" t="s">
        <v>553</v>
      </c>
      <c r="M6" s="1612"/>
      <c r="N6" s="1611" t="s">
        <v>557</v>
      </c>
      <c r="O6" s="1612"/>
      <c r="P6" s="1612" t="s">
        <v>571</v>
      </c>
      <c r="Q6" s="1612"/>
      <c r="R6" s="1612" t="s">
        <v>573</v>
      </c>
      <c r="S6" s="1612"/>
      <c r="T6" s="1608" t="s">
        <v>591</v>
      </c>
      <c r="U6" s="1609"/>
      <c r="V6" s="1608" t="s">
        <v>496</v>
      </c>
      <c r="W6" s="1609"/>
      <c r="X6" s="1615" t="s">
        <v>1282</v>
      </c>
      <c r="Y6" s="1616"/>
      <c r="Z6" s="1615" t="s">
        <v>912</v>
      </c>
      <c r="AA6" s="1616"/>
      <c r="AB6" s="1608" t="s">
        <v>502</v>
      </c>
      <c r="AC6" s="1609"/>
      <c r="AD6" s="1617" t="s">
        <v>464</v>
      </c>
      <c r="AE6" s="1617"/>
      <c r="AF6" s="1618" t="s">
        <v>466</v>
      </c>
      <c r="AG6" s="1618"/>
      <c r="AH6" s="1608" t="s">
        <v>472</v>
      </c>
      <c r="AI6" s="1609"/>
      <c r="AJ6" s="1608" t="s">
        <v>904</v>
      </c>
      <c r="AK6" s="1614"/>
      <c r="AL6" s="1608" t="s">
        <v>614</v>
      </c>
      <c r="AM6" s="1609"/>
      <c r="AN6" s="1608" t="s">
        <v>509</v>
      </c>
      <c r="AO6" s="1609"/>
      <c r="AP6" s="1610" t="s">
        <v>531</v>
      </c>
      <c r="AQ6" s="1609"/>
      <c r="AR6" s="1608" t="s">
        <v>511</v>
      </c>
      <c r="AS6" s="1609"/>
      <c r="AT6" s="1611" t="s">
        <v>575</v>
      </c>
      <c r="AU6" s="1612"/>
      <c r="AV6" s="1613" t="s">
        <v>474</v>
      </c>
      <c r="AW6" s="1609"/>
      <c r="AX6" s="1608" t="s">
        <v>476</v>
      </c>
      <c r="AY6" s="1614"/>
      <c r="AZ6" s="1611" t="s">
        <v>434</v>
      </c>
      <c r="BA6" s="1611"/>
      <c r="BB6" s="1611" t="s">
        <v>438</v>
      </c>
      <c r="BC6" s="1611"/>
      <c r="BD6" s="1608" t="s">
        <v>440</v>
      </c>
      <c r="BE6" s="1609"/>
      <c r="BF6" s="1608" t="s">
        <v>521</v>
      </c>
      <c r="BG6" s="1609"/>
      <c r="BH6" s="1608" t="s">
        <v>442</v>
      </c>
      <c r="BI6" s="1609"/>
    </row>
    <row r="7" spans="1:61" s="661" customFormat="1" ht="18" customHeight="1" x14ac:dyDescent="0.25">
      <c r="A7" s="1633"/>
      <c r="B7" s="658" t="s">
        <v>315</v>
      </c>
      <c r="C7" s="658" t="s">
        <v>317</v>
      </c>
      <c r="D7" s="658" t="s">
        <v>315</v>
      </c>
      <c r="E7" s="658" t="s">
        <v>317</v>
      </c>
      <c r="F7" s="658" t="s">
        <v>315</v>
      </c>
      <c r="G7" s="658" t="s">
        <v>317</v>
      </c>
      <c r="H7" s="658" t="s">
        <v>315</v>
      </c>
      <c r="I7" s="658" t="s">
        <v>317</v>
      </c>
      <c r="J7" s="658" t="s">
        <v>315</v>
      </c>
      <c r="K7" s="658" t="s">
        <v>317</v>
      </c>
      <c r="L7" s="658" t="s">
        <v>315</v>
      </c>
      <c r="M7" s="658" t="s">
        <v>317</v>
      </c>
      <c r="N7" s="658" t="s">
        <v>315</v>
      </c>
      <c r="O7" s="658" t="s">
        <v>317</v>
      </c>
      <c r="P7" s="658" t="s">
        <v>315</v>
      </c>
      <c r="Q7" s="658" t="s">
        <v>317</v>
      </c>
      <c r="R7" s="658" t="s">
        <v>315</v>
      </c>
      <c r="S7" s="658" t="s">
        <v>317</v>
      </c>
      <c r="T7" s="658" t="s">
        <v>315</v>
      </c>
      <c r="U7" s="658" t="s">
        <v>317</v>
      </c>
      <c r="V7" s="658" t="s">
        <v>315</v>
      </c>
      <c r="W7" s="658" t="s">
        <v>317</v>
      </c>
      <c r="X7" s="658" t="s">
        <v>315</v>
      </c>
      <c r="Y7" s="658" t="s">
        <v>317</v>
      </c>
      <c r="Z7" s="658" t="s">
        <v>315</v>
      </c>
      <c r="AA7" s="658" t="s">
        <v>317</v>
      </c>
      <c r="AB7" s="658" t="s">
        <v>315</v>
      </c>
      <c r="AC7" s="658" t="s">
        <v>317</v>
      </c>
      <c r="AD7" s="659" t="s">
        <v>315</v>
      </c>
      <c r="AE7" s="659" t="s">
        <v>317</v>
      </c>
      <c r="AF7" s="658" t="s">
        <v>315</v>
      </c>
      <c r="AG7" s="658" t="s">
        <v>317</v>
      </c>
      <c r="AH7" s="658" t="s">
        <v>315</v>
      </c>
      <c r="AI7" s="658" t="s">
        <v>317</v>
      </c>
      <c r="AJ7" s="658" t="s">
        <v>315</v>
      </c>
      <c r="AK7" s="658" t="s">
        <v>317</v>
      </c>
      <c r="AL7" s="658" t="s">
        <v>315</v>
      </c>
      <c r="AM7" s="658" t="s">
        <v>317</v>
      </c>
      <c r="AN7" s="658" t="s">
        <v>315</v>
      </c>
      <c r="AO7" s="658" t="s">
        <v>317</v>
      </c>
      <c r="AP7" s="660" t="s">
        <v>315</v>
      </c>
      <c r="AQ7" s="658" t="s">
        <v>317</v>
      </c>
      <c r="AR7" s="658" t="s">
        <v>315</v>
      </c>
      <c r="AS7" s="658" t="s">
        <v>317</v>
      </c>
      <c r="AT7" s="658" t="s">
        <v>315</v>
      </c>
      <c r="AU7" s="658" t="s">
        <v>317</v>
      </c>
      <c r="AV7" s="658" t="s">
        <v>315</v>
      </c>
      <c r="AW7" s="658" t="s">
        <v>317</v>
      </c>
      <c r="AX7" s="658" t="s">
        <v>315</v>
      </c>
      <c r="AY7" s="658" t="s">
        <v>317</v>
      </c>
      <c r="AZ7" s="658" t="s">
        <v>315</v>
      </c>
      <c r="BA7" s="658" t="s">
        <v>317</v>
      </c>
      <c r="BB7" s="658" t="s">
        <v>315</v>
      </c>
      <c r="BC7" s="658" t="s">
        <v>317</v>
      </c>
      <c r="BD7" s="658" t="s">
        <v>315</v>
      </c>
      <c r="BE7" s="658" t="s">
        <v>317</v>
      </c>
      <c r="BF7" s="658" t="s">
        <v>315</v>
      </c>
      <c r="BG7" s="658" t="s">
        <v>317</v>
      </c>
      <c r="BH7" s="658" t="s">
        <v>315</v>
      </c>
      <c r="BI7" s="658" t="s">
        <v>317</v>
      </c>
    </row>
    <row r="8" spans="1:61" s="651" customFormat="1" ht="21" customHeight="1" x14ac:dyDescent="0.25">
      <c r="A8" s="1093" t="s">
        <v>1301</v>
      </c>
      <c r="B8" s="1094">
        <f t="shared" ref="B8:C11" si="0">F8+N8+R8+T8+AJ8+AV8+AP8+BB8+BD8+AL8+AX8+AT8+AN8+BH8+AR8+D8+P8+J8+AB8+AH8+AF8+V8+BF8+AZ8+H8+AD8+L8+Z8+X8</f>
        <v>47735323.509999998</v>
      </c>
      <c r="C8" s="1092">
        <f t="shared" si="0"/>
        <v>13701716.34</v>
      </c>
      <c r="D8" s="632">
        <f>[1]Субсидия_факт!AB10</f>
        <v>0</v>
      </c>
      <c r="E8" s="633"/>
      <c r="F8" s="632">
        <f>[1]Субсидия_факт!AH10</f>
        <v>217781.07</v>
      </c>
      <c r="G8" s="638">
        <v>0</v>
      </c>
      <c r="H8" s="632">
        <f>[1]Субсидия_факт!AJ10</f>
        <v>0</v>
      </c>
      <c r="I8" s="638"/>
      <c r="J8" s="632">
        <f>[1]Субсидия_факт!BB10</f>
        <v>0</v>
      </c>
      <c r="K8" s="638"/>
      <c r="L8" s="632">
        <f>[1]Субсидия_факт!BD10</f>
        <v>0</v>
      </c>
      <c r="M8" s="638"/>
      <c r="N8" s="632">
        <f>[1]Субсидия_факт!BR10</f>
        <v>0</v>
      </c>
      <c r="O8" s="638"/>
      <c r="P8" s="632">
        <f>[1]Субсидия_факт!BT10</f>
        <v>435000</v>
      </c>
      <c r="Q8" s="638"/>
      <c r="R8" s="632">
        <f>[1]Субсидия_факт!BV10</f>
        <v>70964.89</v>
      </c>
      <c r="S8" s="638">
        <v>41325</v>
      </c>
      <c r="T8" s="632">
        <f>[1]Субсидия_факт!DX10</f>
        <v>0</v>
      </c>
      <c r="U8" s="633"/>
      <c r="V8" s="632">
        <f>[1]Субсидия_факт!HT10</f>
        <v>0</v>
      </c>
      <c r="W8" s="638"/>
      <c r="X8" s="632">
        <f>[1]Субсидия_факт!HX10</f>
        <v>0</v>
      </c>
      <c r="Y8" s="638"/>
      <c r="Z8" s="632">
        <f>[1]Субсидия_факт!HZ10</f>
        <v>6788616.8200000003</v>
      </c>
      <c r="AA8" s="638"/>
      <c r="AB8" s="632">
        <f>[1]Субсидия_факт!IB10</f>
        <v>16445000</v>
      </c>
      <c r="AC8" s="662">
        <v>4813523.05</v>
      </c>
      <c r="AD8" s="636">
        <f>[1]Субсидия_факт!LF10</f>
        <v>20513806.809999999</v>
      </c>
      <c r="AE8" s="637">
        <v>8513711.1999999993</v>
      </c>
      <c r="AF8" s="663">
        <f>[1]Субсидия_факт!LL10</f>
        <v>0</v>
      </c>
      <c r="AG8" s="637"/>
      <c r="AH8" s="664">
        <f>[1]Субсидия_факт!ML10</f>
        <v>0</v>
      </c>
      <c r="AI8" s="665"/>
      <c r="AJ8" s="632">
        <f>[1]Субсидия_факт!MT10</f>
        <v>0</v>
      </c>
      <c r="AK8" s="638"/>
      <c r="AL8" s="632">
        <f>[1]Субсидия_факт!ND10</f>
        <v>832650</v>
      </c>
      <c r="AM8" s="638"/>
      <c r="AN8" s="632">
        <f>[1]Субсидия_факт!NJ10</f>
        <v>0</v>
      </c>
      <c r="AO8" s="638"/>
      <c r="AP8" s="666">
        <f>[1]Субсидия_факт!NL10</f>
        <v>0</v>
      </c>
      <c r="AQ8" s="638"/>
      <c r="AR8" s="632">
        <f>[1]Субсидия_факт!NR10</f>
        <v>538380.75</v>
      </c>
      <c r="AS8" s="638"/>
      <c r="AT8" s="632">
        <f>[1]Субсидия_факт!NX10</f>
        <v>0</v>
      </c>
      <c r="AU8" s="638"/>
      <c r="AV8" s="632">
        <f>[1]Субсидия_факт!NZ10</f>
        <v>547309.22</v>
      </c>
      <c r="AW8" s="638">
        <v>184748.73</v>
      </c>
      <c r="AX8" s="632">
        <f>[1]Субсидия_факт!OB10</f>
        <v>45962.79</v>
      </c>
      <c r="AY8" s="638"/>
      <c r="AZ8" s="632">
        <f>[1]Субсидия_факт!OP10</f>
        <v>539880</v>
      </c>
      <c r="BA8" s="638">
        <v>0</v>
      </c>
      <c r="BB8" s="632">
        <f>[1]Субсидия_факт!OV10</f>
        <v>691479.65</v>
      </c>
      <c r="BC8" s="638">
        <v>148408.35999999999</v>
      </c>
      <c r="BD8" s="632">
        <f>[1]Субсидия_факт!PC10</f>
        <v>0</v>
      </c>
      <c r="BE8" s="638"/>
      <c r="BF8" s="632">
        <f>[1]Субсидия_факт!PE10</f>
        <v>0</v>
      </c>
      <c r="BG8" s="638"/>
      <c r="BH8" s="632">
        <f>[1]Субсидия_факт!PW10</f>
        <v>68491.509999999995</v>
      </c>
      <c r="BI8" s="638"/>
    </row>
    <row r="9" spans="1:61" s="651" customFormat="1" ht="21" customHeight="1" x14ac:dyDescent="0.25">
      <c r="A9" s="1093" t="s">
        <v>1302</v>
      </c>
      <c r="B9" s="1094">
        <f t="shared" si="0"/>
        <v>194244211.05000001</v>
      </c>
      <c r="C9" s="1092">
        <f t="shared" si="0"/>
        <v>24438368.100000001</v>
      </c>
      <c r="D9" s="632">
        <f>[1]Субсидия_факт!AB14</f>
        <v>0</v>
      </c>
      <c r="E9" s="633"/>
      <c r="F9" s="632">
        <f>[1]Субсидия_факт!AH14</f>
        <v>215512.51</v>
      </c>
      <c r="G9" s="638">
        <v>215512.51</v>
      </c>
      <c r="H9" s="632">
        <f>[1]Субсидия_факт!AJ14</f>
        <v>0</v>
      </c>
      <c r="I9" s="638"/>
      <c r="J9" s="632">
        <f>[1]Субсидия_факт!BB14</f>
        <v>0</v>
      </c>
      <c r="K9" s="638"/>
      <c r="L9" s="632">
        <f>[1]Субсидия_факт!BD14</f>
        <v>0</v>
      </c>
      <c r="M9" s="638"/>
      <c r="N9" s="632">
        <f>[1]Субсидия_факт!BR14</f>
        <v>2304447.2599999998</v>
      </c>
      <c r="O9" s="638"/>
      <c r="P9" s="632">
        <f>[1]Субсидия_факт!BT14</f>
        <v>0</v>
      </c>
      <c r="Q9" s="638"/>
      <c r="R9" s="632">
        <f>[1]Субсидия_факт!BV14</f>
        <v>171689.25</v>
      </c>
      <c r="S9" s="638">
        <v>0</v>
      </c>
      <c r="T9" s="632">
        <f>[1]Субсидия_факт!DX14</f>
        <v>38260.870000000003</v>
      </c>
      <c r="U9" s="633">
        <f>T9</f>
        <v>38260.870000000003</v>
      </c>
      <c r="V9" s="632">
        <f>[1]Субсидия_факт!HT14</f>
        <v>0</v>
      </c>
      <c r="W9" s="638"/>
      <c r="X9" s="632">
        <f>[1]Субсидия_факт!HX14</f>
        <v>0</v>
      </c>
      <c r="Y9" s="638"/>
      <c r="Z9" s="632">
        <f>[1]Субсидия_факт!HZ14</f>
        <v>110880741.45</v>
      </c>
      <c r="AA9" s="638"/>
      <c r="AB9" s="632">
        <f>[1]Субсидия_факт!IB14</f>
        <v>36919009.979999997</v>
      </c>
      <c r="AC9" s="662">
        <v>19027197.550000001</v>
      </c>
      <c r="AD9" s="636">
        <f>[1]Субсидия_факт!LF14</f>
        <v>35144776.350000001</v>
      </c>
      <c r="AE9" s="637"/>
      <c r="AF9" s="663">
        <f>[1]Субсидия_факт!LL14</f>
        <v>0</v>
      </c>
      <c r="AG9" s="637"/>
      <c r="AH9" s="664">
        <f>[1]Субсидия_факт!ML14</f>
        <v>0</v>
      </c>
      <c r="AI9" s="665"/>
      <c r="AJ9" s="632">
        <f>[1]Субсидия_факт!MT14</f>
        <v>6726687.7300000004</v>
      </c>
      <c r="AK9" s="638">
        <v>4965519.3899999997</v>
      </c>
      <c r="AL9" s="632">
        <f>[1]Субсидия_факт!ND14</f>
        <v>0</v>
      </c>
      <c r="AM9" s="638"/>
      <c r="AN9" s="632">
        <f>[1]Субсидия_факт!NJ14</f>
        <v>0</v>
      </c>
      <c r="AO9" s="638"/>
      <c r="AP9" s="666">
        <f>[1]Субсидия_факт!NL14</f>
        <v>0</v>
      </c>
      <c r="AQ9" s="638"/>
      <c r="AR9" s="632">
        <f>[1]Субсидия_факт!NR14</f>
        <v>0</v>
      </c>
      <c r="AS9" s="638"/>
      <c r="AT9" s="632">
        <f>[1]Субсидия_факт!NX14</f>
        <v>0</v>
      </c>
      <c r="AU9" s="638"/>
      <c r="AV9" s="632">
        <f>[1]Субсидия_факт!NZ14</f>
        <v>299720.09000000003</v>
      </c>
      <c r="AW9" s="638">
        <v>101804.18</v>
      </c>
      <c r="AX9" s="632">
        <f>[1]Субсидия_факт!OB14</f>
        <v>115404.56</v>
      </c>
      <c r="AY9" s="638"/>
      <c r="AZ9" s="632">
        <f>[1]Субсидия_факт!OP14</f>
        <v>995830</v>
      </c>
      <c r="BA9" s="638">
        <v>0</v>
      </c>
      <c r="BB9" s="632">
        <f>[1]Субсидия_факт!OV14</f>
        <v>227717.34</v>
      </c>
      <c r="BC9" s="638">
        <v>90073.600000000006</v>
      </c>
      <c r="BD9" s="632">
        <f>[1]Субсидия_факт!PC14</f>
        <v>96358.3</v>
      </c>
      <c r="BE9" s="638"/>
      <c r="BF9" s="632">
        <f>[1]Субсидия_факт!PE14</f>
        <v>0</v>
      </c>
      <c r="BG9" s="638"/>
      <c r="BH9" s="632">
        <f>[1]Субсидия_факт!PW14</f>
        <v>108055.36</v>
      </c>
      <c r="BI9" s="638"/>
    </row>
    <row r="10" spans="1:61" s="651" customFormat="1" ht="21" customHeight="1" x14ac:dyDescent="0.25">
      <c r="A10" s="1093" t="s">
        <v>1303</v>
      </c>
      <c r="B10" s="1094">
        <f t="shared" si="0"/>
        <v>50628214.620000005</v>
      </c>
      <c r="C10" s="1092">
        <f t="shared" si="0"/>
        <v>6159638.0300000003</v>
      </c>
      <c r="D10" s="632">
        <f>[1]Субсидия_факт!AB18</f>
        <v>0</v>
      </c>
      <c r="E10" s="633"/>
      <c r="F10" s="632">
        <f>[1]Субсидия_факт!AH18</f>
        <v>215512.51</v>
      </c>
      <c r="G10" s="638">
        <v>0</v>
      </c>
      <c r="H10" s="632">
        <f>[1]Субсидия_факт!AJ18</f>
        <v>0</v>
      </c>
      <c r="I10" s="638"/>
      <c r="J10" s="632">
        <f>[1]Субсидия_факт!BB18</f>
        <v>0</v>
      </c>
      <c r="K10" s="638"/>
      <c r="L10" s="632">
        <f>[1]Субсидия_факт!BD18</f>
        <v>0</v>
      </c>
      <c r="M10" s="638"/>
      <c r="N10" s="632">
        <f>[1]Субсидия_факт!BR18</f>
        <v>0</v>
      </c>
      <c r="O10" s="638"/>
      <c r="P10" s="632">
        <f>[1]Субсидия_факт!BT18</f>
        <v>0</v>
      </c>
      <c r="Q10" s="638"/>
      <c r="R10" s="632">
        <f>[1]Субсидия_факт!BV18</f>
        <v>207171.7</v>
      </c>
      <c r="S10" s="638">
        <v>0</v>
      </c>
      <c r="T10" s="632">
        <f>[1]Субсидия_факт!DX18</f>
        <v>6956.52</v>
      </c>
      <c r="U10" s="633">
        <f>T10</f>
        <v>6956.52</v>
      </c>
      <c r="V10" s="632">
        <f>[1]Субсидия_факт!HT18</f>
        <v>0</v>
      </c>
      <c r="W10" s="638"/>
      <c r="X10" s="632">
        <f>[1]Субсидия_факт!HX18</f>
        <v>0</v>
      </c>
      <c r="Y10" s="638"/>
      <c r="Z10" s="632">
        <f>[1]Субсидия_факт!HZ18</f>
        <v>0</v>
      </c>
      <c r="AA10" s="638"/>
      <c r="AB10" s="632">
        <f>[1]Субсидия_факт!IB18</f>
        <v>27534228.140000001</v>
      </c>
      <c r="AC10" s="662">
        <v>5761313.6600000001</v>
      </c>
      <c r="AD10" s="636">
        <f>[1]Субсидия_факт!LF18</f>
        <v>19700007.09</v>
      </c>
      <c r="AE10" s="637"/>
      <c r="AF10" s="663">
        <f>[1]Субсидия_факт!LL18</f>
        <v>0</v>
      </c>
      <c r="AG10" s="637"/>
      <c r="AH10" s="664">
        <f>[1]Субсидия_факт!ML18</f>
        <v>0</v>
      </c>
      <c r="AI10" s="665"/>
      <c r="AJ10" s="632">
        <f>[1]Субсидия_факт!MT18</f>
        <v>0</v>
      </c>
      <c r="AK10" s="638"/>
      <c r="AL10" s="632">
        <f>[1]Субсидия_факт!ND18</f>
        <v>0</v>
      </c>
      <c r="AM10" s="638"/>
      <c r="AN10" s="632">
        <f>[1]Субсидия_факт!NJ18</f>
        <v>0</v>
      </c>
      <c r="AO10" s="638"/>
      <c r="AP10" s="666">
        <f>[1]Субсидия_факт!NL18</f>
        <v>0</v>
      </c>
      <c r="AQ10" s="638"/>
      <c r="AR10" s="632">
        <f>[1]Субсидия_факт!NR18</f>
        <v>0</v>
      </c>
      <c r="AS10" s="638"/>
      <c r="AT10" s="632">
        <f>[1]Субсидия_факт!NX18</f>
        <v>0</v>
      </c>
      <c r="AU10" s="638"/>
      <c r="AV10" s="632">
        <f>[1]Субсидия_факт!NZ18</f>
        <v>433278.37</v>
      </c>
      <c r="AW10" s="638">
        <v>178766.04</v>
      </c>
      <c r="AX10" s="632">
        <f>[1]Субсидия_факт!OB18</f>
        <v>472418.73</v>
      </c>
      <c r="AY10" s="638"/>
      <c r="AZ10" s="632">
        <f>[1]Субсидия_факт!OP18</f>
        <v>233000</v>
      </c>
      <c r="BA10" s="638">
        <v>0</v>
      </c>
      <c r="BB10" s="632">
        <f>[1]Субсидия_факт!OV18</f>
        <v>327695.53000000003</v>
      </c>
      <c r="BC10" s="638">
        <v>212601.81</v>
      </c>
      <c r="BD10" s="632">
        <f>[1]Субсидия_факт!PC18</f>
        <v>0</v>
      </c>
      <c r="BE10" s="638"/>
      <c r="BF10" s="632">
        <f>[1]Субсидия_факт!PE18</f>
        <v>1497946.03</v>
      </c>
      <c r="BG10" s="638"/>
      <c r="BH10" s="632">
        <f>[1]Субсидия_факт!PW18</f>
        <v>0</v>
      </c>
      <c r="BI10" s="638"/>
    </row>
    <row r="11" spans="1:61" s="651" customFormat="1" ht="21" customHeight="1" x14ac:dyDescent="0.25">
      <c r="A11" s="1093" t="s">
        <v>1304</v>
      </c>
      <c r="B11" s="1094">
        <f t="shared" si="0"/>
        <v>78659337.050000012</v>
      </c>
      <c r="C11" s="1092">
        <f t="shared" si="0"/>
        <v>11972506.960000001</v>
      </c>
      <c r="D11" s="632">
        <f>[1]Субсидия_факт!AB23</f>
        <v>0</v>
      </c>
      <c r="E11" s="633"/>
      <c r="F11" s="632">
        <f>[1]Субсидия_факт!AH23</f>
        <v>222464.53</v>
      </c>
      <c r="G11" s="638">
        <v>93308.29</v>
      </c>
      <c r="H11" s="632">
        <f>[1]Субсидия_факт!AJ23</f>
        <v>0</v>
      </c>
      <c r="I11" s="638"/>
      <c r="J11" s="632">
        <f>[1]Субсидия_факт!BB23</f>
        <v>0</v>
      </c>
      <c r="K11" s="638"/>
      <c r="L11" s="632">
        <f>[1]Субсидия_факт!BD23</f>
        <v>0</v>
      </c>
      <c r="M11" s="638"/>
      <c r="N11" s="632">
        <f>[1]Субсидия_факт!BR23</f>
        <v>3257971.49</v>
      </c>
      <c r="O11" s="638"/>
      <c r="P11" s="632">
        <f>[1]Субсидия_факт!BT23</f>
        <v>0</v>
      </c>
      <c r="Q11" s="638"/>
      <c r="R11" s="632">
        <f>[1]Субсидия_факт!BV23</f>
        <v>137821.29</v>
      </c>
      <c r="S11" s="638">
        <v>33480</v>
      </c>
      <c r="T11" s="632">
        <f>[1]Субсидия_факт!DX23</f>
        <v>10434.780000000001</v>
      </c>
      <c r="U11" s="633">
        <f>T11</f>
        <v>10434.780000000001</v>
      </c>
      <c r="V11" s="632">
        <f>[1]Субсидия_факт!HT23</f>
        <v>0</v>
      </c>
      <c r="W11" s="638"/>
      <c r="X11" s="632">
        <f>[1]Субсидия_факт!HX23</f>
        <v>0</v>
      </c>
      <c r="Y11" s="638"/>
      <c r="Z11" s="632">
        <f>[1]Субсидия_факт!HZ23</f>
        <v>0</v>
      </c>
      <c r="AA11" s="638"/>
      <c r="AB11" s="632">
        <f>[1]Субсидия_факт!IB23</f>
        <v>39569565.100000001</v>
      </c>
      <c r="AC11" s="662">
        <v>9665991.6400000006</v>
      </c>
      <c r="AD11" s="636">
        <f>[1]Субсидия_факт!LF23</f>
        <v>27079092.100000001</v>
      </c>
      <c r="AE11" s="637"/>
      <c r="AF11" s="663">
        <f>[1]Субсидия_факт!LL23</f>
        <v>0</v>
      </c>
      <c r="AG11" s="637"/>
      <c r="AH11" s="664">
        <f>[1]Субсидия_факт!ML23</f>
        <v>0</v>
      </c>
      <c r="AI11" s="665"/>
      <c r="AJ11" s="632">
        <f>[1]Субсидия_факт!MT23</f>
        <v>0</v>
      </c>
      <c r="AK11" s="638"/>
      <c r="AL11" s="632">
        <f>[1]Субсидия_факт!ND23</f>
        <v>0</v>
      </c>
      <c r="AM11" s="638"/>
      <c r="AN11" s="632">
        <f>[1]Субсидия_факт!NJ23</f>
        <v>0</v>
      </c>
      <c r="AO11" s="638"/>
      <c r="AP11" s="666">
        <f>[1]Субсидия_факт!NL23</f>
        <v>1413600</v>
      </c>
      <c r="AQ11" s="638"/>
      <c r="AR11" s="632">
        <f>[1]Субсидия_факт!NR23</f>
        <v>0</v>
      </c>
      <c r="AS11" s="638"/>
      <c r="AT11" s="632">
        <f>[1]Субсидия_факт!NX23</f>
        <v>1413600</v>
      </c>
      <c r="AU11" s="638">
        <v>1150142.6200000001</v>
      </c>
      <c r="AV11" s="632">
        <f>[1]Субсидия_факт!NZ23</f>
        <v>2176944.3199999998</v>
      </c>
      <c r="AW11" s="638">
        <v>0</v>
      </c>
      <c r="AX11" s="632">
        <f>[1]Субсидия_факт!OB23</f>
        <v>469632.43</v>
      </c>
      <c r="AY11" s="638"/>
      <c r="AZ11" s="632">
        <f>[1]Субсидия_факт!OP23</f>
        <v>1947840</v>
      </c>
      <c r="BA11" s="638">
        <v>580000</v>
      </c>
      <c r="BB11" s="632">
        <f>[1]Субсидия_факт!OV23</f>
        <v>876551.08</v>
      </c>
      <c r="BC11" s="638">
        <v>439149.63</v>
      </c>
      <c r="BD11" s="632">
        <f>[1]Субсидия_факт!PC23</f>
        <v>83819.929999999993</v>
      </c>
      <c r="BE11" s="638"/>
      <c r="BF11" s="632">
        <f>[1]Субсидия_факт!PE23</f>
        <v>0</v>
      </c>
      <c r="BG11" s="638"/>
      <c r="BH11" s="632">
        <f>[1]Субсидия_факт!PW23</f>
        <v>0</v>
      </c>
      <c r="BI11" s="638"/>
    </row>
    <row r="12" spans="1:61" s="651" customFormat="1" ht="21" customHeight="1" x14ac:dyDescent="0.25">
      <c r="A12" s="1087" t="s">
        <v>1305</v>
      </c>
      <c r="B12" s="1086">
        <f t="shared" ref="B12:B25" si="1">F12+N12+R12+T12+AJ12+AV12+AP12+BB12+BD12+AL12+AX12+AT12+AN12+BH12+AR12+D12+P12+J12+AB12+AH12+AF12+V12+BF12+AZ12+H12+AD12+L12+Z12+X12</f>
        <v>274893528.74000001</v>
      </c>
      <c r="C12" s="1023">
        <f t="shared" ref="C12:C25" si="2">G12+O12+S12+U12+AK12+AW12+AQ12+BC12+BE12+AM12+AY12+AU12+AO12+BI12+AS12+E12+Q12+K12+AC12+AI12+AG12+W12+BG12+BA12+I12+AE12+M12+AA12+Y12</f>
        <v>21616030.830000002</v>
      </c>
      <c r="D12" s="632">
        <f>[1]Субсидия_факт!AB11</f>
        <v>0</v>
      </c>
      <c r="E12" s="633"/>
      <c r="F12" s="632">
        <f>[1]Субсидия_факт!AH11</f>
        <v>222464.53</v>
      </c>
      <c r="G12" s="638">
        <v>222464.53</v>
      </c>
      <c r="H12" s="632">
        <f>[1]Субсидия_факт!AJ11</f>
        <v>0</v>
      </c>
      <c r="I12" s="638"/>
      <c r="J12" s="632">
        <f>[1]Субсидия_факт!BB11</f>
        <v>0</v>
      </c>
      <c r="K12" s="638"/>
      <c r="L12" s="632">
        <f>[1]Субсидия_факт!BD11</f>
        <v>0</v>
      </c>
      <c r="M12" s="638"/>
      <c r="N12" s="632">
        <f>[1]Субсидия_факт!BR11</f>
        <v>2304447.2599999998</v>
      </c>
      <c r="O12" s="638"/>
      <c r="P12" s="632">
        <f>[1]Субсидия_факт!BT11</f>
        <v>458000</v>
      </c>
      <c r="Q12" s="638">
        <v>327052.15999999997</v>
      </c>
      <c r="R12" s="632">
        <f>[1]Субсидия_факт!BV11</f>
        <v>235978.23999999999</v>
      </c>
      <c r="S12" s="638">
        <v>235978.23999999999</v>
      </c>
      <c r="T12" s="632">
        <f>[1]Субсидия_факт!DX11</f>
        <v>13043.48</v>
      </c>
      <c r="U12" s="633">
        <f>T12</f>
        <v>13043.48</v>
      </c>
      <c r="V12" s="632">
        <f>[1]Субсидия_факт!HT11</f>
        <v>0</v>
      </c>
      <c r="W12" s="638"/>
      <c r="X12" s="632">
        <f>[1]Субсидия_факт!HX11</f>
        <v>0</v>
      </c>
      <c r="Y12" s="638"/>
      <c r="Z12" s="632">
        <f>[1]Субсидия_факт!HZ11</f>
        <v>113376690</v>
      </c>
      <c r="AA12" s="638">
        <v>1564183.19</v>
      </c>
      <c r="AB12" s="632">
        <f>[1]Субсидия_факт!IB11</f>
        <v>4650000</v>
      </c>
      <c r="AC12" s="662">
        <v>0</v>
      </c>
      <c r="AD12" s="636">
        <f>[1]Субсидия_факт!LF11</f>
        <v>21800347.690000001</v>
      </c>
      <c r="AE12" s="637">
        <v>15265502.73</v>
      </c>
      <c r="AF12" s="663">
        <f>[1]Субсидия_факт!LL11</f>
        <v>0</v>
      </c>
      <c r="AG12" s="637"/>
      <c r="AH12" s="664">
        <f>[1]Субсидия_факт!ML11</f>
        <v>0</v>
      </c>
      <c r="AI12" s="665"/>
      <c r="AJ12" s="632">
        <f>[1]Субсидия_факт!MT11</f>
        <v>64600000</v>
      </c>
      <c r="AK12" s="638"/>
      <c r="AL12" s="632">
        <f>[1]Субсидия_факт!ND11</f>
        <v>53000000</v>
      </c>
      <c r="AM12" s="638"/>
      <c r="AN12" s="632">
        <f>[1]Субсидия_факт!NJ11</f>
        <v>0</v>
      </c>
      <c r="AO12" s="638"/>
      <c r="AP12" s="666">
        <f>[1]Субсидия_факт!NL11</f>
        <v>5010800</v>
      </c>
      <c r="AQ12" s="638"/>
      <c r="AR12" s="632">
        <f>[1]Субсидия_факт!NR11</f>
        <v>0</v>
      </c>
      <c r="AS12" s="638"/>
      <c r="AT12" s="632">
        <f>[1]Субсидия_факт!NX11</f>
        <v>5010800</v>
      </c>
      <c r="AU12" s="638">
        <v>2576492.5499999998</v>
      </c>
      <c r="AV12" s="632">
        <f>[1]Субсидия_факт!NZ11</f>
        <v>520381.94</v>
      </c>
      <c r="AW12" s="638">
        <v>194848.07</v>
      </c>
      <c r="AX12" s="632">
        <f>[1]Субсидия_факт!OB11</f>
        <v>1154646.1299999999</v>
      </c>
      <c r="AY12" s="638"/>
      <c r="AZ12" s="632">
        <f>[1]Субсидия_факт!OP11</f>
        <v>2073510.6099999999</v>
      </c>
      <c r="BA12" s="638">
        <v>1021300.61</v>
      </c>
      <c r="BB12" s="632">
        <f>[1]Субсидия_факт!OV11</f>
        <v>462418.86</v>
      </c>
      <c r="BC12" s="638">
        <v>195165.27</v>
      </c>
      <c r="BD12" s="632">
        <f>[1]Субсидия_факт!PC11</f>
        <v>0</v>
      </c>
      <c r="BE12" s="638"/>
      <c r="BF12" s="632">
        <f>[1]Субсидия_факт!PE11</f>
        <v>0</v>
      </c>
      <c r="BG12" s="638"/>
      <c r="BH12" s="632">
        <f>[1]Субсидия_факт!PW11</f>
        <v>0</v>
      </c>
      <c r="BI12" s="638"/>
    </row>
    <row r="13" spans="1:61" s="651" customFormat="1" ht="21" customHeight="1" x14ac:dyDescent="0.25">
      <c r="A13" s="1087" t="s">
        <v>1306</v>
      </c>
      <c r="B13" s="1086">
        <f t="shared" si="1"/>
        <v>135612978.10000002</v>
      </c>
      <c r="C13" s="1023">
        <f t="shared" si="2"/>
        <v>58967899.860000007</v>
      </c>
      <c r="D13" s="632">
        <f>[1]Субсидия_факт!AB12</f>
        <v>0</v>
      </c>
      <c r="E13" s="633"/>
      <c r="F13" s="632">
        <f>[1]Субсидия_факт!AH12</f>
        <v>227354.49</v>
      </c>
      <c r="G13" s="638">
        <v>128265.72</v>
      </c>
      <c r="H13" s="632">
        <f>[1]Субсидия_факт!AJ12</f>
        <v>0</v>
      </c>
      <c r="I13" s="638"/>
      <c r="J13" s="632">
        <f>[1]Субсидия_факт!BB12</f>
        <v>0</v>
      </c>
      <c r="K13" s="638"/>
      <c r="L13" s="632">
        <f>[1]Субсидия_факт!BD12</f>
        <v>0</v>
      </c>
      <c r="M13" s="638"/>
      <c r="N13" s="632">
        <f>[1]Субсидия_факт!BR12</f>
        <v>1474819.08</v>
      </c>
      <c r="O13" s="638"/>
      <c r="P13" s="632">
        <f>[1]Субсидия_факт!BT12</f>
        <v>0</v>
      </c>
      <c r="Q13" s="638"/>
      <c r="R13" s="632">
        <f>[1]Субсидия_факт!BV12</f>
        <v>183099.06</v>
      </c>
      <c r="S13" s="638">
        <v>113431.5</v>
      </c>
      <c r="T13" s="632">
        <f>[1]Субсидия_факт!DX12</f>
        <v>0</v>
      </c>
      <c r="U13" s="633">
        <f t="shared" ref="U13:U16" si="3">T13</f>
        <v>0</v>
      </c>
      <c r="V13" s="632">
        <f>[1]Субсидия_факт!HT12</f>
        <v>0</v>
      </c>
      <c r="W13" s="638"/>
      <c r="X13" s="632">
        <f>[1]Субсидия_факт!HX12</f>
        <v>1012337.620000001</v>
      </c>
      <c r="Y13" s="638"/>
      <c r="Z13" s="632">
        <f>[1]Субсидия_факт!HZ12</f>
        <v>52733881.299999997</v>
      </c>
      <c r="AA13" s="638">
        <v>7111670.3499999996</v>
      </c>
      <c r="AB13" s="632">
        <f>[1]Субсидия_факт!IB12</f>
        <v>40380530.880000003</v>
      </c>
      <c r="AC13" s="662">
        <v>26229712.629999999</v>
      </c>
      <c r="AD13" s="636">
        <f>[1]Субсидия_факт!LF12</f>
        <v>25973874.800000001</v>
      </c>
      <c r="AE13" s="637">
        <v>22891751.850000001</v>
      </c>
      <c r="AF13" s="663">
        <f>[1]Субсидия_факт!LL12</f>
        <v>0</v>
      </c>
      <c r="AG13" s="637"/>
      <c r="AH13" s="664">
        <f>[1]Субсидия_факт!ML12</f>
        <v>0</v>
      </c>
      <c r="AI13" s="665"/>
      <c r="AJ13" s="632">
        <f>[1]Субсидия_факт!MT12</f>
        <v>0</v>
      </c>
      <c r="AK13" s="638"/>
      <c r="AL13" s="632">
        <f>[1]Субсидия_факт!ND12</f>
        <v>0</v>
      </c>
      <c r="AM13" s="638"/>
      <c r="AN13" s="632">
        <f>[1]Субсидия_факт!NJ12</f>
        <v>649075.68000000005</v>
      </c>
      <c r="AO13" s="638"/>
      <c r="AP13" s="666">
        <f>[1]Субсидия_факт!NL12</f>
        <v>4381800</v>
      </c>
      <c r="AQ13" s="638"/>
      <c r="AR13" s="632">
        <f>[1]Субсидия_факт!NR12</f>
        <v>0</v>
      </c>
      <c r="AS13" s="638"/>
      <c r="AT13" s="632">
        <f>[1]Субсидия_факт!NX12</f>
        <v>4381800</v>
      </c>
      <c r="AU13" s="638">
        <v>1497876.91</v>
      </c>
      <c r="AV13" s="632">
        <f>[1]Субсидия_факт!NZ12</f>
        <v>1345029.46</v>
      </c>
      <c r="AW13" s="638">
        <v>255421.58</v>
      </c>
      <c r="AX13" s="632">
        <f>[1]Субсидия_факт!OB12</f>
        <v>1342716.54</v>
      </c>
      <c r="AY13" s="638"/>
      <c r="AZ13" s="632">
        <f>[1]Субсидия_факт!OP12</f>
        <v>845440</v>
      </c>
      <c r="BA13" s="638">
        <v>430000</v>
      </c>
      <c r="BB13" s="632">
        <f>[1]Субсидия_факт!OV12</f>
        <v>461551.64</v>
      </c>
      <c r="BC13" s="638">
        <v>186706.99</v>
      </c>
      <c r="BD13" s="632">
        <f>[1]Субсидия_факт!PC12</f>
        <v>96605.22</v>
      </c>
      <c r="BE13" s="638"/>
      <c r="BF13" s="632">
        <f>[1]Субсидия_факт!PE12</f>
        <v>0</v>
      </c>
      <c r="BG13" s="638"/>
      <c r="BH13" s="632">
        <f>[1]Субсидия_факт!PW12</f>
        <v>123062.33</v>
      </c>
      <c r="BI13" s="638">
        <v>123062.33</v>
      </c>
    </row>
    <row r="14" spans="1:61" s="651" customFormat="1" ht="21" customHeight="1" x14ac:dyDescent="0.25">
      <c r="A14" s="1087" t="s">
        <v>1307</v>
      </c>
      <c r="B14" s="1086">
        <f t="shared" si="1"/>
        <v>102292190.98</v>
      </c>
      <c r="C14" s="1023">
        <f t="shared" si="2"/>
        <v>29432721.030000001</v>
      </c>
      <c r="D14" s="632">
        <f>[1]Субсидия_факт!AB13</f>
        <v>0</v>
      </c>
      <c r="E14" s="633"/>
      <c r="F14" s="632">
        <f>[1]Субсидия_факт!AH13</f>
        <v>220097.89</v>
      </c>
      <c r="G14" s="638">
        <v>220097.89</v>
      </c>
      <c r="H14" s="632">
        <f>[1]Субсидия_факт!AJ13</f>
        <v>0</v>
      </c>
      <c r="I14" s="638"/>
      <c r="J14" s="632">
        <f>[1]Субсидия_факт!BB13</f>
        <v>0</v>
      </c>
      <c r="K14" s="638"/>
      <c r="L14" s="632">
        <f>[1]Субсидия_факт!BD13</f>
        <v>0</v>
      </c>
      <c r="M14" s="638"/>
      <c r="N14" s="632">
        <f>[1]Субсидия_факт!BR13</f>
        <v>2304447.2599999998</v>
      </c>
      <c r="O14" s="638"/>
      <c r="P14" s="632">
        <f>[1]Субсидия_факт!BT13</f>
        <v>0</v>
      </c>
      <c r="Q14" s="638"/>
      <c r="R14" s="632">
        <f>[1]Субсидия_факт!BV13</f>
        <v>117661.4</v>
      </c>
      <c r="S14" s="638">
        <v>59359.12</v>
      </c>
      <c r="T14" s="632">
        <f>[1]Субсидия_факт!DX13</f>
        <v>7826.1</v>
      </c>
      <c r="U14" s="633">
        <f t="shared" si="3"/>
        <v>7826.1</v>
      </c>
      <c r="V14" s="632">
        <f>[1]Субсидия_факт!HT13</f>
        <v>0</v>
      </c>
      <c r="W14" s="638"/>
      <c r="X14" s="632">
        <f>[1]Субсидия_факт!HX13</f>
        <v>0</v>
      </c>
      <c r="Y14" s="638"/>
      <c r="Z14" s="632">
        <f>[1]Субсидия_факт!HZ13</f>
        <v>0</v>
      </c>
      <c r="AA14" s="638"/>
      <c r="AB14" s="632">
        <f>[1]Субсидия_факт!IB13</f>
        <v>40600000</v>
      </c>
      <c r="AC14" s="662">
        <v>12332379.630000001</v>
      </c>
      <c r="AD14" s="636">
        <f>[1]Субсидия_факт!LF13</f>
        <v>26829232.25</v>
      </c>
      <c r="AE14" s="637">
        <v>16378026.84</v>
      </c>
      <c r="AF14" s="663">
        <f>[1]Субсидия_факт!LL13</f>
        <v>0</v>
      </c>
      <c r="AG14" s="637"/>
      <c r="AH14" s="664">
        <f>[1]Субсидия_факт!ML13</f>
        <v>0</v>
      </c>
      <c r="AI14" s="665"/>
      <c r="AJ14" s="632">
        <f>[1]Субсидия_факт!MT13</f>
        <v>0</v>
      </c>
      <c r="AK14" s="638"/>
      <c r="AL14" s="632">
        <f>[1]Субсидия_факт!ND13</f>
        <v>25281770</v>
      </c>
      <c r="AM14" s="638"/>
      <c r="AN14" s="632">
        <f>[1]Субсидия_факт!NJ13</f>
        <v>0</v>
      </c>
      <c r="AO14" s="638"/>
      <c r="AP14" s="666">
        <f>[1]Субсидия_факт!NL13</f>
        <v>0</v>
      </c>
      <c r="AQ14" s="638"/>
      <c r="AR14" s="632">
        <f>[1]Субсидия_факт!NR13</f>
        <v>0</v>
      </c>
      <c r="AS14" s="638"/>
      <c r="AT14" s="632">
        <f>[1]Субсидия_факт!NX13</f>
        <v>0</v>
      </c>
      <c r="AU14" s="638"/>
      <c r="AV14" s="632">
        <f>[1]Субсидия_факт!NZ13</f>
        <v>1473574.35</v>
      </c>
      <c r="AW14" s="638">
        <v>302336.40999999997</v>
      </c>
      <c r="AX14" s="632">
        <f>[1]Субсидия_факт!OB13</f>
        <v>1606199.92</v>
      </c>
      <c r="AY14" s="638"/>
      <c r="AZ14" s="632">
        <f>[1]Субсидия_факт!OP13</f>
        <v>3497891.64</v>
      </c>
      <c r="BA14" s="638">
        <v>0</v>
      </c>
      <c r="BB14" s="632">
        <f>[1]Субсидия_факт!OV13</f>
        <v>353490.17</v>
      </c>
      <c r="BC14" s="638">
        <v>132695.04000000001</v>
      </c>
      <c r="BD14" s="632">
        <f>[1]Субсидия_факт!PC13</f>
        <v>0</v>
      </c>
      <c r="BE14" s="638"/>
      <c r="BF14" s="632">
        <f>[1]Субсидия_факт!PE13</f>
        <v>0</v>
      </c>
      <c r="BG14" s="638"/>
      <c r="BH14" s="632">
        <f>[1]Субсидия_факт!PW13</f>
        <v>0</v>
      </c>
      <c r="BI14" s="638"/>
    </row>
    <row r="15" spans="1:61" s="651" customFormat="1" ht="21" customHeight="1" x14ac:dyDescent="0.25">
      <c r="A15" s="1087" t="s">
        <v>1308</v>
      </c>
      <c r="B15" s="1086">
        <f t="shared" si="1"/>
        <v>61622642.5</v>
      </c>
      <c r="C15" s="1023">
        <f t="shared" si="2"/>
        <v>29577670.809999999</v>
      </c>
      <c r="D15" s="632">
        <f>[1]Субсидия_факт!AB15</f>
        <v>0</v>
      </c>
      <c r="E15" s="633"/>
      <c r="F15" s="632">
        <f>[1]Субсидия_факт!AH15</f>
        <v>220097.89</v>
      </c>
      <c r="G15" s="638">
        <v>215614.24</v>
      </c>
      <c r="H15" s="632">
        <f>[1]Субсидия_факт!AJ15</f>
        <v>0</v>
      </c>
      <c r="I15" s="638"/>
      <c r="J15" s="632">
        <f>[1]Субсидия_факт!BB15</f>
        <v>0</v>
      </c>
      <c r="K15" s="638"/>
      <c r="L15" s="632">
        <f>[1]Субсидия_факт!BD15</f>
        <v>0</v>
      </c>
      <c r="M15" s="638"/>
      <c r="N15" s="632">
        <f>[1]Субсидия_факт!BR15</f>
        <v>0</v>
      </c>
      <c r="O15" s="638"/>
      <c r="P15" s="632">
        <f>[1]Субсидия_факт!BT15</f>
        <v>0</v>
      </c>
      <c r="Q15" s="638"/>
      <c r="R15" s="632">
        <f>[1]Субсидия_факт!BV15</f>
        <v>58636.800000000003</v>
      </c>
      <c r="S15" s="638">
        <v>9072.8799999999992</v>
      </c>
      <c r="T15" s="632">
        <f>[1]Субсидия_факт!DX15</f>
        <v>0</v>
      </c>
      <c r="U15" s="633">
        <f t="shared" si="3"/>
        <v>0</v>
      </c>
      <c r="V15" s="632">
        <f>[1]Субсидия_факт!HT15</f>
        <v>0</v>
      </c>
      <c r="W15" s="638"/>
      <c r="X15" s="632">
        <f>[1]Субсидия_факт!HX15</f>
        <v>0</v>
      </c>
      <c r="Y15" s="638"/>
      <c r="Z15" s="632">
        <f>[1]Субсидия_факт!HZ15</f>
        <v>0</v>
      </c>
      <c r="AA15" s="638"/>
      <c r="AB15" s="632">
        <f>[1]Субсидия_факт!IB15</f>
        <v>23359400</v>
      </c>
      <c r="AC15" s="662">
        <v>7748993.9900000002</v>
      </c>
      <c r="AD15" s="636">
        <f>[1]Субсидия_факт!LF15</f>
        <v>28930096.879999999</v>
      </c>
      <c r="AE15" s="637">
        <v>21268108.719999999</v>
      </c>
      <c r="AF15" s="663">
        <f>[1]Субсидия_факт!LL15</f>
        <v>0</v>
      </c>
      <c r="AG15" s="637"/>
      <c r="AH15" s="664">
        <f>[1]Субсидия_факт!ML15</f>
        <v>0</v>
      </c>
      <c r="AI15" s="665"/>
      <c r="AJ15" s="632">
        <f>[1]Субсидия_факт!MT15</f>
        <v>0</v>
      </c>
      <c r="AK15" s="638"/>
      <c r="AL15" s="632">
        <f>[1]Субсидия_факт!ND15</f>
        <v>3412200</v>
      </c>
      <c r="AM15" s="638"/>
      <c r="AN15" s="632">
        <f>[1]Субсидия_факт!NJ15</f>
        <v>0</v>
      </c>
      <c r="AO15" s="638"/>
      <c r="AP15" s="666">
        <f>[1]Субсидия_факт!NL15</f>
        <v>0</v>
      </c>
      <c r="AQ15" s="638"/>
      <c r="AR15" s="632">
        <f>[1]Субсидия_факт!NR15</f>
        <v>0</v>
      </c>
      <c r="AS15" s="638"/>
      <c r="AT15" s="632">
        <f>[1]Субсидия_факт!NX15</f>
        <v>0</v>
      </c>
      <c r="AU15" s="638"/>
      <c r="AV15" s="632">
        <f>[1]Субсидия_факт!NZ15</f>
        <v>4082900.84</v>
      </c>
      <c r="AW15" s="638">
        <v>124817.68</v>
      </c>
      <c r="AX15" s="632">
        <f>[1]Субсидия_факт!OB15</f>
        <v>714627.81</v>
      </c>
      <c r="AY15" s="638"/>
      <c r="AZ15" s="632">
        <f>[1]Субсидия_факт!OP15</f>
        <v>399890</v>
      </c>
      <c r="BA15" s="638">
        <v>0</v>
      </c>
      <c r="BB15" s="632">
        <f>[1]Субсидия_факт!OV15</f>
        <v>256948.80000000002</v>
      </c>
      <c r="BC15" s="638">
        <v>108003.32</v>
      </c>
      <c r="BD15" s="632">
        <f>[1]Субсидия_факт!PC15</f>
        <v>78716.2</v>
      </c>
      <c r="BE15" s="638"/>
      <c r="BF15" s="632">
        <f>[1]Субсидия_факт!PE15</f>
        <v>0</v>
      </c>
      <c r="BG15" s="638"/>
      <c r="BH15" s="632">
        <f>[1]Субсидия_факт!PW15</f>
        <v>109127.28</v>
      </c>
      <c r="BI15" s="638">
        <v>103059.98</v>
      </c>
    </row>
    <row r="16" spans="1:61" s="651" customFormat="1" ht="21" customHeight="1" x14ac:dyDescent="0.25">
      <c r="A16" s="1087" t="s">
        <v>1309</v>
      </c>
      <c r="B16" s="1086">
        <f t="shared" si="1"/>
        <v>36266512.509999998</v>
      </c>
      <c r="C16" s="1023">
        <f t="shared" si="2"/>
        <v>1759653.15</v>
      </c>
      <c r="D16" s="632">
        <f>[1]Субсидия_факт!AB16</f>
        <v>0</v>
      </c>
      <c r="E16" s="633"/>
      <c r="F16" s="632">
        <f>[1]Субсидия_факт!AH16</f>
        <v>211633.29</v>
      </c>
      <c r="G16" s="638">
        <v>158551.84</v>
      </c>
      <c r="H16" s="632">
        <f>[1]Субсидия_факт!AJ16</f>
        <v>476800</v>
      </c>
      <c r="I16" s="638">
        <v>324826.40000000002</v>
      </c>
      <c r="J16" s="632">
        <f>[1]Субсидия_факт!BB16</f>
        <v>0</v>
      </c>
      <c r="K16" s="638"/>
      <c r="L16" s="632">
        <f>[1]Субсидия_факт!BD16</f>
        <v>0</v>
      </c>
      <c r="M16" s="638"/>
      <c r="N16" s="632">
        <f>[1]Субсидия_факт!BR16</f>
        <v>3666100.82</v>
      </c>
      <c r="O16" s="638"/>
      <c r="P16" s="632">
        <f>[1]Субсидия_факт!BT16</f>
        <v>0</v>
      </c>
      <c r="Q16" s="638"/>
      <c r="R16" s="632">
        <f>[1]Субсидия_факт!BV16</f>
        <v>200460.76</v>
      </c>
      <c r="S16" s="638">
        <v>0</v>
      </c>
      <c r="T16" s="632">
        <f>[1]Субсидия_факт!DX16</f>
        <v>12173.91</v>
      </c>
      <c r="U16" s="633">
        <f t="shared" si="3"/>
        <v>12173.91</v>
      </c>
      <c r="V16" s="632">
        <f>[1]Субсидия_факт!HT16</f>
        <v>0</v>
      </c>
      <c r="W16" s="638"/>
      <c r="X16" s="632">
        <f>[1]Субсидия_факт!HX16</f>
        <v>0</v>
      </c>
      <c r="Y16" s="638"/>
      <c r="Z16" s="632">
        <f>[1]Субсидия_факт!HZ16</f>
        <v>0</v>
      </c>
      <c r="AA16" s="638"/>
      <c r="AB16" s="632">
        <f>[1]Субсидия_факт!IB16</f>
        <v>0</v>
      </c>
      <c r="AC16" s="662">
        <v>0</v>
      </c>
      <c r="AD16" s="636">
        <f>[1]Субсидия_факт!LF16</f>
        <v>24304986.239999998</v>
      </c>
      <c r="AE16" s="637"/>
      <c r="AF16" s="663">
        <f>[1]Субсидия_факт!LL16</f>
        <v>0</v>
      </c>
      <c r="AG16" s="637"/>
      <c r="AH16" s="664">
        <f>[1]Субсидия_факт!ML16</f>
        <v>0</v>
      </c>
      <c r="AI16" s="665"/>
      <c r="AJ16" s="632">
        <f>[1]Субсидия_факт!MT16</f>
        <v>0</v>
      </c>
      <c r="AK16" s="638"/>
      <c r="AL16" s="632">
        <f>[1]Субсидия_факт!ND16</f>
        <v>0</v>
      </c>
      <c r="AM16" s="638"/>
      <c r="AN16" s="632">
        <f>[1]Субсидия_факт!NJ16</f>
        <v>0</v>
      </c>
      <c r="AO16" s="638"/>
      <c r="AP16" s="666">
        <f>[1]Субсидия_факт!NL16</f>
        <v>1484400</v>
      </c>
      <c r="AQ16" s="638"/>
      <c r="AR16" s="632">
        <f>[1]Субсидия_факт!NR16</f>
        <v>530548.81999999995</v>
      </c>
      <c r="AS16" s="638">
        <v>495911.96</v>
      </c>
      <c r="AT16" s="632">
        <f>[1]Субсидия_факт!NX16</f>
        <v>1484400</v>
      </c>
      <c r="AU16" s="638">
        <v>618500</v>
      </c>
      <c r="AV16" s="632">
        <f>[1]Субсидия_факт!NZ16</f>
        <v>923239.44</v>
      </c>
      <c r="AW16" s="638">
        <v>0</v>
      </c>
      <c r="AX16" s="632">
        <f>[1]Субсидия_факт!OB16</f>
        <v>1518660.02</v>
      </c>
      <c r="AY16" s="638"/>
      <c r="AZ16" s="632">
        <f>[1]Субсидия_факт!OP16</f>
        <v>941710</v>
      </c>
      <c r="BA16" s="638">
        <v>0</v>
      </c>
      <c r="BB16" s="632">
        <f>[1]Субсидия_факт!OV16</f>
        <v>414283.32</v>
      </c>
      <c r="BC16" s="638">
        <v>149689.04</v>
      </c>
      <c r="BD16" s="632">
        <f>[1]Субсидия_факт!PC16</f>
        <v>97115.89</v>
      </c>
      <c r="BE16" s="638"/>
      <c r="BF16" s="632">
        <f>[1]Субсидия_факт!PE16</f>
        <v>0</v>
      </c>
      <c r="BG16" s="638"/>
      <c r="BH16" s="632">
        <f>[1]Субсидия_факт!PW16</f>
        <v>0</v>
      </c>
      <c r="BI16" s="638"/>
    </row>
    <row r="17" spans="1:61" s="651" customFormat="1" ht="21" customHeight="1" x14ac:dyDescent="0.25">
      <c r="A17" s="1087" t="s">
        <v>1310</v>
      </c>
      <c r="B17" s="1086">
        <f t="shared" si="1"/>
        <v>202622321.28</v>
      </c>
      <c r="C17" s="1023">
        <f t="shared" si="2"/>
        <v>60411558.060000002</v>
      </c>
      <c r="D17" s="632">
        <f>[1]Субсидия_факт!AB17</f>
        <v>0</v>
      </c>
      <c r="E17" s="633"/>
      <c r="F17" s="632">
        <f>[1]Субсидия_факт!AH17</f>
        <v>217781.07</v>
      </c>
      <c r="G17" s="638">
        <v>198271.51</v>
      </c>
      <c r="H17" s="632">
        <f>[1]Субсидия_факт!AJ17</f>
        <v>0</v>
      </c>
      <c r="I17" s="638"/>
      <c r="J17" s="632">
        <f>[1]Субсидия_факт!BB17</f>
        <v>0</v>
      </c>
      <c r="K17" s="638"/>
      <c r="L17" s="632">
        <f>[1]Субсидия_факт!BD17</f>
        <v>12000000</v>
      </c>
      <c r="M17" s="638"/>
      <c r="N17" s="632">
        <f>[1]Субсидия_факт!BR17</f>
        <v>0</v>
      </c>
      <c r="O17" s="638"/>
      <c r="P17" s="632">
        <f>[1]Субсидия_факт!BT17</f>
        <v>0</v>
      </c>
      <c r="Q17" s="638"/>
      <c r="R17" s="632">
        <f>[1]Субсидия_факт!BV17</f>
        <v>66983.22</v>
      </c>
      <c r="S17" s="638">
        <v>65052.2</v>
      </c>
      <c r="T17" s="632">
        <f>[1]Субсидия_факт!DX17</f>
        <v>8695.65</v>
      </c>
      <c r="U17" s="633">
        <f>T17</f>
        <v>8695.65</v>
      </c>
      <c r="V17" s="632">
        <f>[1]Субсидия_факт!HT17</f>
        <v>101494836.71000001</v>
      </c>
      <c r="W17" s="638">
        <v>40690538.850000001</v>
      </c>
      <c r="X17" s="632">
        <f>[1]Субсидия_факт!HX17</f>
        <v>0</v>
      </c>
      <c r="Y17" s="638"/>
      <c r="Z17" s="632">
        <f>[1]Субсидия_факт!HZ17</f>
        <v>0</v>
      </c>
      <c r="AA17" s="638"/>
      <c r="AB17" s="632">
        <f>[1]Субсидия_факт!IB17</f>
        <v>45802055.340000004</v>
      </c>
      <c r="AC17" s="662">
        <v>15571012.66</v>
      </c>
      <c r="AD17" s="636">
        <f>[1]Субсидия_факт!LF17</f>
        <v>28834494.010000002</v>
      </c>
      <c r="AE17" s="637"/>
      <c r="AF17" s="663">
        <f>[1]Субсидия_факт!LL17</f>
        <v>0</v>
      </c>
      <c r="AG17" s="637"/>
      <c r="AH17" s="664">
        <f>[1]Субсидия_факт!ML17</f>
        <v>0</v>
      </c>
      <c r="AI17" s="665"/>
      <c r="AJ17" s="632">
        <f>[1]Субсидия_факт!MT17</f>
        <v>0</v>
      </c>
      <c r="AK17" s="638"/>
      <c r="AL17" s="632">
        <f>[1]Субсидия_факт!ND17</f>
        <v>0</v>
      </c>
      <c r="AM17" s="638"/>
      <c r="AN17" s="632">
        <f>[1]Субсидия_факт!NJ17</f>
        <v>0</v>
      </c>
      <c r="AO17" s="638"/>
      <c r="AP17" s="666">
        <f>[1]Субсидия_факт!NL17</f>
        <v>3751000</v>
      </c>
      <c r="AQ17" s="638"/>
      <c r="AR17" s="632">
        <f>[1]Субсидия_факт!NR17</f>
        <v>603217.06999999995</v>
      </c>
      <c r="AS17" s="638">
        <v>603217.06999999995</v>
      </c>
      <c r="AT17" s="632">
        <f>[1]Субсидия_факт!NX17</f>
        <v>3751000</v>
      </c>
      <c r="AU17" s="638">
        <v>2917506.24</v>
      </c>
      <c r="AV17" s="632">
        <f>[1]Субсидия_факт!NZ17</f>
        <v>3328527.31</v>
      </c>
      <c r="AW17" s="638">
        <v>0</v>
      </c>
      <c r="AX17" s="632">
        <f>[1]Субсидия_факт!OB17</f>
        <v>1170593.07</v>
      </c>
      <c r="AY17" s="638"/>
      <c r="AZ17" s="632">
        <f>[1]Субсидия_факт!OP17</f>
        <v>1430080</v>
      </c>
      <c r="BA17" s="638">
        <v>350000</v>
      </c>
      <c r="BB17" s="632">
        <f>[1]Субсидия_факт!OV17</f>
        <v>46224.67</v>
      </c>
      <c r="BC17" s="638">
        <v>7263.88</v>
      </c>
      <c r="BD17" s="632">
        <f>[1]Субсидия_факт!PC17</f>
        <v>0</v>
      </c>
      <c r="BE17" s="638"/>
      <c r="BF17" s="632">
        <f>[1]Субсидия_факт!PE17</f>
        <v>0</v>
      </c>
      <c r="BG17" s="638"/>
      <c r="BH17" s="632">
        <f>[1]Субсидия_факт!PW17</f>
        <v>116833.16</v>
      </c>
      <c r="BI17" s="638"/>
    </row>
    <row r="18" spans="1:61" s="651" customFormat="1" ht="21" customHeight="1" x14ac:dyDescent="0.25">
      <c r="A18" s="1087" t="s">
        <v>1311</v>
      </c>
      <c r="B18" s="1086">
        <f t="shared" si="1"/>
        <v>45000525.539999999</v>
      </c>
      <c r="C18" s="1023">
        <f t="shared" si="2"/>
        <v>9193726.6800000016</v>
      </c>
      <c r="D18" s="632">
        <f>[1]Субсидия_факт!AB19</f>
        <v>0</v>
      </c>
      <c r="E18" s="633"/>
      <c r="F18" s="632">
        <f>[1]Субсидия_факт!AH19</f>
        <v>217781.43</v>
      </c>
      <c r="G18" s="638">
        <v>124909.68</v>
      </c>
      <c r="H18" s="632">
        <f>[1]Субсидия_факт!AJ19</f>
        <v>0</v>
      </c>
      <c r="I18" s="638"/>
      <c r="J18" s="632">
        <f>[1]Субсидия_факт!BB19</f>
        <v>0</v>
      </c>
      <c r="K18" s="638"/>
      <c r="L18" s="632">
        <f>[1]Субсидия_факт!BD19</f>
        <v>0</v>
      </c>
      <c r="M18" s="638"/>
      <c r="N18" s="632">
        <f>[1]Субсидия_факт!BR19</f>
        <v>0</v>
      </c>
      <c r="O18" s="638"/>
      <c r="P18" s="632">
        <f>[1]Субсидия_факт!BT19</f>
        <v>0</v>
      </c>
      <c r="Q18" s="638"/>
      <c r="R18" s="632">
        <f>[1]Субсидия_факт!BV19</f>
        <v>119037.89</v>
      </c>
      <c r="S18" s="638">
        <v>0</v>
      </c>
      <c r="T18" s="632">
        <f>[1]Субсидия_факт!DX19</f>
        <v>4347.83</v>
      </c>
      <c r="U18" s="633">
        <f t="shared" ref="U18:U24" si="4">T18</f>
        <v>4347.83</v>
      </c>
      <c r="V18" s="632">
        <f>[1]Субсидия_факт!HT19</f>
        <v>0</v>
      </c>
      <c r="W18" s="638"/>
      <c r="X18" s="632">
        <f>[1]Субсидия_факт!HX19</f>
        <v>0</v>
      </c>
      <c r="Y18" s="638"/>
      <c r="Z18" s="632">
        <f>[1]Субсидия_факт!HZ19</f>
        <v>0</v>
      </c>
      <c r="AA18" s="638"/>
      <c r="AB18" s="632">
        <f>[1]Субсидия_факт!IB19</f>
        <v>25350000</v>
      </c>
      <c r="AC18" s="662">
        <v>8747795.2100000009</v>
      </c>
      <c r="AD18" s="636">
        <f>[1]Субсидия_факт!LF19</f>
        <v>18013338.98</v>
      </c>
      <c r="AE18" s="637"/>
      <c r="AF18" s="663">
        <f>[1]Субсидия_факт!LL19</f>
        <v>0</v>
      </c>
      <c r="AG18" s="637"/>
      <c r="AH18" s="664">
        <f>[1]Субсидия_факт!ML19</f>
        <v>0</v>
      </c>
      <c r="AI18" s="665"/>
      <c r="AJ18" s="632">
        <f>[1]Субсидия_факт!MT19</f>
        <v>0</v>
      </c>
      <c r="AK18" s="638"/>
      <c r="AL18" s="632">
        <f>[1]Субсидия_факт!ND19</f>
        <v>0</v>
      </c>
      <c r="AM18" s="638"/>
      <c r="AN18" s="632">
        <f>[1]Субсидия_факт!NJ19</f>
        <v>0</v>
      </c>
      <c r="AO18" s="638"/>
      <c r="AP18" s="666">
        <f>[1]Субсидия_факт!NL19</f>
        <v>0</v>
      </c>
      <c r="AQ18" s="638"/>
      <c r="AR18" s="632">
        <f>[1]Субсидия_факт!NR19</f>
        <v>0</v>
      </c>
      <c r="AS18" s="638"/>
      <c r="AT18" s="632">
        <f>[1]Субсидия_факт!NX19</f>
        <v>0</v>
      </c>
      <c r="AU18" s="638"/>
      <c r="AV18" s="632">
        <f>[1]Субсидия_факт!NZ19</f>
        <v>367913.7</v>
      </c>
      <c r="AW18" s="638">
        <v>62556.24</v>
      </c>
      <c r="AX18" s="632">
        <f>[1]Субсидия_факт!OB19</f>
        <v>169151.66</v>
      </c>
      <c r="AY18" s="638"/>
      <c r="AZ18" s="632">
        <f>[1]Субсидия_факт!OP19</f>
        <v>264430</v>
      </c>
      <c r="BA18" s="638">
        <v>0</v>
      </c>
      <c r="BB18" s="632">
        <f>[1]Субсидия_факт!OV19</f>
        <v>329453.15999999997</v>
      </c>
      <c r="BC18" s="638">
        <v>161496.60999999999</v>
      </c>
      <c r="BD18" s="632">
        <f>[1]Субсидия_факт!PC19</f>
        <v>72449.78</v>
      </c>
      <c r="BE18" s="638"/>
      <c r="BF18" s="632">
        <f>[1]Субсидия_факт!PE19</f>
        <v>0</v>
      </c>
      <c r="BG18" s="638"/>
      <c r="BH18" s="632">
        <f>[1]Субсидия_факт!PW19</f>
        <v>92621.11</v>
      </c>
      <c r="BI18" s="638">
        <v>92621.11</v>
      </c>
    </row>
    <row r="19" spans="1:61" s="651" customFormat="1" ht="21" customHeight="1" x14ac:dyDescent="0.25">
      <c r="A19" s="1087" t="s">
        <v>1312</v>
      </c>
      <c r="B19" s="1086">
        <f t="shared" si="1"/>
        <v>215173325.59999999</v>
      </c>
      <c r="C19" s="1023">
        <f t="shared" si="2"/>
        <v>44080885.760000005</v>
      </c>
      <c r="D19" s="632">
        <f>[1]Субсидия_факт!AB20</f>
        <v>0</v>
      </c>
      <c r="E19" s="633"/>
      <c r="F19" s="632">
        <f>[1]Субсидия_факт!AH20</f>
        <v>474127.53</v>
      </c>
      <c r="G19" s="638">
        <v>123313.39</v>
      </c>
      <c r="H19" s="632">
        <f>[1]Субсидия_факт!AJ20</f>
        <v>0</v>
      </c>
      <c r="I19" s="638"/>
      <c r="J19" s="632">
        <f>[1]Субсидия_факт!BB20</f>
        <v>54677198.120000005</v>
      </c>
      <c r="K19" s="638"/>
      <c r="L19" s="632">
        <f>[1]Субсидия_факт!BD20</f>
        <v>0</v>
      </c>
      <c r="M19" s="638"/>
      <c r="N19" s="632">
        <f>[1]Субсидия_факт!BR20</f>
        <v>0</v>
      </c>
      <c r="O19" s="638"/>
      <c r="P19" s="632">
        <f>[1]Субсидия_факт!BT20</f>
        <v>0</v>
      </c>
      <c r="Q19" s="638"/>
      <c r="R19" s="632">
        <f>[1]Субсидия_факт!BV20</f>
        <v>115975.32</v>
      </c>
      <c r="S19" s="638">
        <v>6175.19</v>
      </c>
      <c r="T19" s="632">
        <f>[1]Субсидия_факт!DX20</f>
        <v>86956.52</v>
      </c>
      <c r="U19" s="633">
        <f t="shared" si="4"/>
        <v>86956.52</v>
      </c>
      <c r="V19" s="632">
        <f>[1]Субсидия_факт!HT20</f>
        <v>0</v>
      </c>
      <c r="W19" s="638"/>
      <c r="X19" s="632">
        <f>[1]Субсидия_факт!HX20</f>
        <v>0</v>
      </c>
      <c r="Y19" s="638"/>
      <c r="Z19" s="632">
        <f>[1]Субсидия_факт!HZ20</f>
        <v>59302390</v>
      </c>
      <c r="AA19" s="638">
        <v>17541499.760000002</v>
      </c>
      <c r="AB19" s="632">
        <f>[1]Субсидия_факт!IB20</f>
        <v>52668894.549999997</v>
      </c>
      <c r="AC19" s="662">
        <v>21386027.27</v>
      </c>
      <c r="AD19" s="636">
        <f>[1]Субсидия_факт!LF20</f>
        <v>18378285.260000002</v>
      </c>
      <c r="AE19" s="637">
        <v>2410829.77</v>
      </c>
      <c r="AF19" s="663">
        <f>[1]Субсидия_факт!LL20</f>
        <v>0</v>
      </c>
      <c r="AG19" s="637"/>
      <c r="AH19" s="664">
        <f>[1]Субсидия_факт!ML20</f>
        <v>0</v>
      </c>
      <c r="AI19" s="665"/>
      <c r="AJ19" s="632">
        <f>[1]Субсидия_факт!MT20</f>
        <v>18024576.300000001</v>
      </c>
      <c r="AK19" s="638"/>
      <c r="AL19" s="632">
        <f>[1]Субсидия_факт!ND20</f>
        <v>0</v>
      </c>
      <c r="AM19" s="638"/>
      <c r="AN19" s="632">
        <f>[1]Субсидия_факт!NJ20</f>
        <v>1067447.29</v>
      </c>
      <c r="AO19" s="638"/>
      <c r="AP19" s="666">
        <f>[1]Субсидия_факт!NL20</f>
        <v>4228000</v>
      </c>
      <c r="AQ19" s="638"/>
      <c r="AR19" s="632">
        <f>[1]Субсидия_факт!NR20</f>
        <v>0</v>
      </c>
      <c r="AS19" s="638"/>
      <c r="AT19" s="632">
        <f>[1]Субсидия_факт!NX20</f>
        <v>4228000</v>
      </c>
      <c r="AU19" s="638">
        <v>2346336.7200000002</v>
      </c>
      <c r="AV19" s="632">
        <f>[1]Субсидия_факт!NZ20</f>
        <v>206798.53</v>
      </c>
      <c r="AW19" s="638">
        <v>52412.31</v>
      </c>
      <c r="AX19" s="632">
        <f>[1]Субсидия_факт!OB20</f>
        <v>804491.07</v>
      </c>
      <c r="AY19" s="638"/>
      <c r="AZ19" s="632">
        <f>[1]Субсидия_факт!OP20</f>
        <v>387900</v>
      </c>
      <c r="BA19" s="638">
        <v>0</v>
      </c>
      <c r="BB19" s="632">
        <f>[1]Субсидия_факт!OV20</f>
        <v>317539.19</v>
      </c>
      <c r="BC19" s="638">
        <v>127334.83</v>
      </c>
      <c r="BD19" s="632">
        <f>[1]Субсидия_факт!PC20</f>
        <v>107604.73</v>
      </c>
      <c r="BE19" s="638"/>
      <c r="BF19" s="632">
        <f>[1]Субсидия_факт!PE20</f>
        <v>0</v>
      </c>
      <c r="BG19" s="638"/>
      <c r="BH19" s="632">
        <f>[1]Субсидия_факт!PW20</f>
        <v>97141.19</v>
      </c>
      <c r="BI19" s="638"/>
    </row>
    <row r="20" spans="1:61" s="651" customFormat="1" ht="21" customHeight="1" x14ac:dyDescent="0.25">
      <c r="A20" s="1087" t="s">
        <v>1313</v>
      </c>
      <c r="B20" s="1086">
        <f t="shared" si="1"/>
        <v>53264864.959999993</v>
      </c>
      <c r="C20" s="1023">
        <f t="shared" si="2"/>
        <v>7890835.3499999996</v>
      </c>
      <c r="D20" s="632">
        <f>[1]Субсидия_факт!AB21</f>
        <v>0</v>
      </c>
      <c r="E20" s="633"/>
      <c r="F20" s="632">
        <f>[1]Субсидия_факт!AH21</f>
        <v>217781.07</v>
      </c>
      <c r="G20" s="638">
        <v>183875.27</v>
      </c>
      <c r="H20" s="632">
        <f>[1]Субсидия_факт!AJ21</f>
        <v>0</v>
      </c>
      <c r="I20" s="638"/>
      <c r="J20" s="632">
        <f>[1]Субсидия_факт!BB21</f>
        <v>0</v>
      </c>
      <c r="K20" s="638"/>
      <c r="L20" s="632">
        <f>[1]Субсидия_факт!BD21</f>
        <v>0</v>
      </c>
      <c r="M20" s="638"/>
      <c r="N20" s="632">
        <f>[1]Субсидия_факт!BR21</f>
        <v>2304447.2599999998</v>
      </c>
      <c r="O20" s="638"/>
      <c r="P20" s="632">
        <f>[1]Субсидия_факт!BT21</f>
        <v>0</v>
      </c>
      <c r="Q20" s="638"/>
      <c r="R20" s="632">
        <f>[1]Субсидия_факт!BV21</f>
        <v>107591.93</v>
      </c>
      <c r="S20" s="638">
        <v>45600</v>
      </c>
      <c r="T20" s="632">
        <f>[1]Субсидия_факт!DX21</f>
        <v>9565.2199999999993</v>
      </c>
      <c r="U20" s="633">
        <f t="shared" si="4"/>
        <v>9565.2199999999993</v>
      </c>
      <c r="V20" s="632">
        <f>[1]Субсидия_факт!HT21</f>
        <v>0</v>
      </c>
      <c r="W20" s="638"/>
      <c r="X20" s="632">
        <f>[1]Субсидия_факт!HX21</f>
        <v>0</v>
      </c>
      <c r="Y20" s="638"/>
      <c r="Z20" s="632">
        <f>[1]Субсидия_факт!HZ21</f>
        <v>0</v>
      </c>
      <c r="AA20" s="638"/>
      <c r="AB20" s="632">
        <f>[1]Субсидия_факт!IB21</f>
        <v>17752760.129999999</v>
      </c>
      <c r="AC20" s="662">
        <v>7123538.79</v>
      </c>
      <c r="AD20" s="636">
        <f>[1]Субсидия_факт!LF21</f>
        <v>13718449.16</v>
      </c>
      <c r="AE20" s="637"/>
      <c r="AF20" s="663">
        <f>[1]Субсидия_факт!LL21</f>
        <v>0</v>
      </c>
      <c r="AG20" s="637"/>
      <c r="AH20" s="664">
        <f>[1]Субсидия_факт!ML21</f>
        <v>0</v>
      </c>
      <c r="AI20" s="665"/>
      <c r="AJ20" s="632">
        <f>[1]Субсидия_факт!MT21</f>
        <v>0</v>
      </c>
      <c r="AK20" s="638"/>
      <c r="AL20" s="632">
        <f>[1]Субсидия_факт!ND21</f>
        <v>14630000</v>
      </c>
      <c r="AM20" s="638"/>
      <c r="AN20" s="632">
        <f>[1]Субсидия_факт!NJ21</f>
        <v>0</v>
      </c>
      <c r="AO20" s="638"/>
      <c r="AP20" s="666">
        <f>[1]Субсидия_факт!NL21</f>
        <v>1492000</v>
      </c>
      <c r="AQ20" s="638"/>
      <c r="AR20" s="632">
        <f>[1]Субсидия_факт!NR21</f>
        <v>0</v>
      </c>
      <c r="AS20" s="638"/>
      <c r="AT20" s="632">
        <f>[1]Субсидия_факт!NX21</f>
        <v>1492000</v>
      </c>
      <c r="AU20" s="638">
        <v>199500</v>
      </c>
      <c r="AV20" s="632">
        <f>[1]Субсидия_факт!NZ21</f>
        <v>460691.94</v>
      </c>
      <c r="AW20" s="638">
        <v>113647.58</v>
      </c>
      <c r="AX20" s="632">
        <f>[1]Субсидия_факт!OB21</f>
        <v>360727.91</v>
      </c>
      <c r="AY20" s="638"/>
      <c r="AZ20" s="632">
        <f>[1]Субсидия_факт!OP21</f>
        <v>207070</v>
      </c>
      <c r="BA20" s="638">
        <v>0</v>
      </c>
      <c r="BB20" s="632">
        <f>[1]Субсидия_факт!OV21</f>
        <v>354339.63</v>
      </c>
      <c r="BC20" s="638">
        <v>133198.03</v>
      </c>
      <c r="BD20" s="632">
        <f>[1]Субсидия_факт!PC21</f>
        <v>81910.460000000006</v>
      </c>
      <c r="BE20" s="633">
        <f>BD20</f>
        <v>81910.460000000006</v>
      </c>
      <c r="BF20" s="632">
        <f>[1]Субсидия_факт!PE21</f>
        <v>0</v>
      </c>
      <c r="BG20" s="638"/>
      <c r="BH20" s="632">
        <f>[1]Субсидия_факт!PW21</f>
        <v>75530.25</v>
      </c>
      <c r="BI20" s="638"/>
    </row>
    <row r="21" spans="1:61" s="651" customFormat="1" ht="21" customHeight="1" x14ac:dyDescent="0.25">
      <c r="A21" s="1087" t="s">
        <v>1314</v>
      </c>
      <c r="B21" s="1086">
        <f t="shared" si="1"/>
        <v>193206230.41000003</v>
      </c>
      <c r="C21" s="1023">
        <f t="shared" si="2"/>
        <v>53356067.230000004</v>
      </c>
      <c r="D21" s="632">
        <f>[1]Субсидия_факт!AB22</f>
        <v>0</v>
      </c>
      <c r="E21" s="633"/>
      <c r="F21" s="632">
        <f>[1]Субсидия_факт!AH22</f>
        <v>227353.86</v>
      </c>
      <c r="G21" s="638">
        <v>0</v>
      </c>
      <c r="H21" s="632">
        <f>[1]Субсидия_факт!AJ22</f>
        <v>0</v>
      </c>
      <c r="I21" s="638"/>
      <c r="J21" s="632">
        <f>[1]Субсидия_факт!BB22</f>
        <v>0</v>
      </c>
      <c r="K21" s="638"/>
      <c r="L21" s="632">
        <f>[1]Субсидия_факт!BD22</f>
        <v>0</v>
      </c>
      <c r="M21" s="638"/>
      <c r="N21" s="632">
        <f>[1]Субсидия_факт!BR22</f>
        <v>4137497.67</v>
      </c>
      <c r="O21" s="638"/>
      <c r="P21" s="632">
        <f>[1]Субсидия_факт!BT22</f>
        <v>10000000</v>
      </c>
      <c r="Q21" s="638"/>
      <c r="R21" s="632">
        <f>[1]Субсидия_факт!BV22</f>
        <v>289450.01</v>
      </c>
      <c r="S21" s="638">
        <v>0</v>
      </c>
      <c r="T21" s="632">
        <f>[1]Субсидия_факт!DX22</f>
        <v>26086.959999999999</v>
      </c>
      <c r="U21" s="633">
        <f t="shared" si="4"/>
        <v>26086.959999999999</v>
      </c>
      <c r="V21" s="632">
        <f>[1]Субсидия_факт!HT22</f>
        <v>0</v>
      </c>
      <c r="W21" s="638"/>
      <c r="X21" s="632">
        <f>[1]Субсидия_факт!HX22</f>
        <v>0</v>
      </c>
      <c r="Y21" s="638"/>
      <c r="Z21" s="632">
        <f>[1]Субсидия_факт!HZ22</f>
        <v>0</v>
      </c>
      <c r="AA21" s="638"/>
      <c r="AB21" s="632">
        <f>[1]Субсидия_факт!IB22</f>
        <v>86782962.159999996</v>
      </c>
      <c r="AC21" s="662">
        <v>51093270.880000003</v>
      </c>
      <c r="AD21" s="636">
        <f>[1]Субсидия_факт!LF22</f>
        <v>87233595.540000007</v>
      </c>
      <c r="AE21" s="637">
        <v>2009903.51</v>
      </c>
      <c r="AF21" s="663">
        <f>[1]Субсидия_факт!LL22</f>
        <v>0</v>
      </c>
      <c r="AG21" s="637"/>
      <c r="AH21" s="664">
        <f>[1]Субсидия_факт!ML22</f>
        <v>0</v>
      </c>
      <c r="AI21" s="665"/>
      <c r="AJ21" s="632">
        <f>[1]Субсидия_факт!MT22</f>
        <v>1433434.45</v>
      </c>
      <c r="AK21" s="638"/>
      <c r="AL21" s="632">
        <f>[1]Субсидия_факт!ND22</f>
        <v>0</v>
      </c>
      <c r="AM21" s="638"/>
      <c r="AN21" s="632">
        <f>[1]Субсидия_факт!NJ22</f>
        <v>0</v>
      </c>
      <c r="AO21" s="638"/>
      <c r="AP21" s="666">
        <f>[1]Субсидия_факт!NL22</f>
        <v>0</v>
      </c>
      <c r="AQ21" s="638"/>
      <c r="AR21" s="632">
        <f>[1]Субсидия_факт!NR22</f>
        <v>0</v>
      </c>
      <c r="AS21" s="638"/>
      <c r="AT21" s="632">
        <f>[1]Субсидия_факт!NX22</f>
        <v>0</v>
      </c>
      <c r="AU21" s="638"/>
      <c r="AV21" s="632">
        <f>[1]Субсидия_факт!NZ22</f>
        <v>1106300.49</v>
      </c>
      <c r="AW21" s="638">
        <v>85755.47</v>
      </c>
      <c r="AX21" s="632">
        <f>[1]Субсидия_факт!OB22</f>
        <v>0</v>
      </c>
      <c r="AY21" s="638"/>
      <c r="AZ21" s="632">
        <f>[1]Субсидия_факт!OP22</f>
        <v>1716530</v>
      </c>
      <c r="BA21" s="638">
        <v>0</v>
      </c>
      <c r="BB21" s="632">
        <f>[1]Субсидия_факт!OV22</f>
        <v>253019.27</v>
      </c>
      <c r="BC21" s="638">
        <v>141050.41</v>
      </c>
      <c r="BD21" s="632">
        <f>[1]Субсидия_факт!PC22</f>
        <v>0</v>
      </c>
      <c r="BE21" s="638"/>
      <c r="BF21" s="632">
        <f>[1]Субсидия_факт!PE22</f>
        <v>0</v>
      </c>
      <c r="BG21" s="638"/>
      <c r="BH21" s="632">
        <f>[1]Субсидия_факт!PW22</f>
        <v>0</v>
      </c>
      <c r="BI21" s="638"/>
    </row>
    <row r="22" spans="1:61" s="651" customFormat="1" ht="21" customHeight="1" x14ac:dyDescent="0.25">
      <c r="A22" s="1087" t="s">
        <v>1315</v>
      </c>
      <c r="B22" s="1086">
        <f t="shared" si="1"/>
        <v>62913609.370000005</v>
      </c>
      <c r="C22" s="1023">
        <f t="shared" si="2"/>
        <v>13843172.130000001</v>
      </c>
      <c r="D22" s="632">
        <f>[1]Субсидия_факт!AB24</f>
        <v>0</v>
      </c>
      <c r="E22" s="633"/>
      <c r="F22" s="632">
        <f>[1]Субсидия_факт!AH24</f>
        <v>220684.81</v>
      </c>
      <c r="G22" s="638">
        <v>167576.49</v>
      </c>
      <c r="H22" s="632">
        <f>[1]Субсидия_факт!AJ24</f>
        <v>0</v>
      </c>
      <c r="I22" s="638"/>
      <c r="J22" s="632">
        <f>[1]Субсидия_факт!BB24</f>
        <v>0</v>
      </c>
      <c r="K22" s="638"/>
      <c r="L22" s="632">
        <f>[1]Субсидия_факт!BD24</f>
        <v>0</v>
      </c>
      <c r="M22" s="638"/>
      <c r="N22" s="632">
        <f>[1]Субсидия_факт!BR24</f>
        <v>1833050.41</v>
      </c>
      <c r="O22" s="638"/>
      <c r="P22" s="632">
        <f>[1]Субсидия_факт!BT24</f>
        <v>0</v>
      </c>
      <c r="Q22" s="638"/>
      <c r="R22" s="632">
        <f>[1]Субсидия_факт!BV24</f>
        <v>103085.85</v>
      </c>
      <c r="S22" s="638">
        <v>89639.9</v>
      </c>
      <c r="T22" s="632">
        <f>[1]Субсидия_факт!DX24</f>
        <v>13913.04</v>
      </c>
      <c r="U22" s="633">
        <f t="shared" si="4"/>
        <v>13913.04</v>
      </c>
      <c r="V22" s="632">
        <f>[1]Субсидия_факт!HT24</f>
        <v>0</v>
      </c>
      <c r="W22" s="638"/>
      <c r="X22" s="632">
        <f>[1]Субсидия_факт!HX24</f>
        <v>0</v>
      </c>
      <c r="Y22" s="638"/>
      <c r="Z22" s="632">
        <f>[1]Субсидия_факт!HZ24</f>
        <v>0</v>
      </c>
      <c r="AA22" s="638"/>
      <c r="AB22" s="632">
        <f>[1]Субсидия_факт!IB24</f>
        <v>31138820.609999999</v>
      </c>
      <c r="AC22" s="662">
        <v>12079617.960000001</v>
      </c>
      <c r="AD22" s="636">
        <f>[1]Субсидия_факт!LF24</f>
        <v>24746050.73</v>
      </c>
      <c r="AE22" s="637"/>
      <c r="AF22" s="663">
        <f>[1]Субсидия_факт!LL24</f>
        <v>0</v>
      </c>
      <c r="AG22" s="637"/>
      <c r="AH22" s="664">
        <f>[1]Субсидия_факт!ML24</f>
        <v>0</v>
      </c>
      <c r="AI22" s="665"/>
      <c r="AJ22" s="632">
        <f>[1]Субсидия_факт!MT24</f>
        <v>0</v>
      </c>
      <c r="AK22" s="638"/>
      <c r="AL22" s="632">
        <f>[1]Субсидия_факт!ND24</f>
        <v>0</v>
      </c>
      <c r="AM22" s="638"/>
      <c r="AN22" s="632">
        <f>[1]Субсидия_факт!NJ24</f>
        <v>0</v>
      </c>
      <c r="AO22" s="638"/>
      <c r="AP22" s="666">
        <f>[1]Субсидия_факт!NL24</f>
        <v>1469200</v>
      </c>
      <c r="AQ22" s="638"/>
      <c r="AR22" s="632">
        <f>[1]Субсидия_факт!NR24</f>
        <v>516015.17</v>
      </c>
      <c r="AS22" s="638">
        <v>509999.66</v>
      </c>
      <c r="AT22" s="632">
        <f>[1]Субсидия_факт!NX24</f>
        <v>1469200</v>
      </c>
      <c r="AU22" s="638">
        <v>705123.95</v>
      </c>
      <c r="AV22" s="632">
        <f>[1]Субсидия_факт!NZ24</f>
        <v>662244.66</v>
      </c>
      <c r="AW22" s="638">
        <v>110494.41</v>
      </c>
      <c r="AX22" s="632">
        <f>[1]Субсидия_факт!OB24</f>
        <v>250276.43</v>
      </c>
      <c r="AY22" s="638"/>
      <c r="AZ22" s="632">
        <f>[1]Субсидия_факт!OP24</f>
        <v>105320</v>
      </c>
      <c r="BA22" s="638">
        <v>0</v>
      </c>
      <c r="BB22" s="632">
        <f>[1]Субсидия_факт!OV24</f>
        <v>211295.67</v>
      </c>
      <c r="BC22" s="638">
        <v>99934.2</v>
      </c>
      <c r="BD22" s="632">
        <f>[1]Субсидия_факт!PC24</f>
        <v>87872.65</v>
      </c>
      <c r="BE22" s="638"/>
      <c r="BF22" s="632">
        <f>[1]Субсидия_факт!PE24</f>
        <v>0</v>
      </c>
      <c r="BG22" s="638"/>
      <c r="BH22" s="632">
        <f>[1]Субсидия_факт!PW24</f>
        <v>86579.34</v>
      </c>
      <c r="BI22" s="638">
        <v>66872.52</v>
      </c>
    </row>
    <row r="23" spans="1:61" s="651" customFormat="1" ht="21" customHeight="1" x14ac:dyDescent="0.25">
      <c r="A23" s="1087" t="s">
        <v>1316</v>
      </c>
      <c r="B23" s="1086">
        <f t="shared" si="1"/>
        <v>110528503.42</v>
      </c>
      <c r="C23" s="1023">
        <f t="shared" si="2"/>
        <v>25826624.309999999</v>
      </c>
      <c r="D23" s="632">
        <f>[1]Субсидия_факт!AB25</f>
        <v>0</v>
      </c>
      <c r="E23" s="633"/>
      <c r="F23" s="632">
        <f>[1]Субсидия_факт!AH25</f>
        <v>217781.07</v>
      </c>
      <c r="G23" s="638">
        <v>205728.24</v>
      </c>
      <c r="H23" s="632">
        <f>[1]Субсидия_факт!AJ25</f>
        <v>0</v>
      </c>
      <c r="I23" s="638"/>
      <c r="J23" s="632">
        <f>[1]Субсидия_факт!BB25</f>
        <v>0</v>
      </c>
      <c r="K23" s="638"/>
      <c r="L23" s="632">
        <f>[1]Субсидия_факт!BD25</f>
        <v>0</v>
      </c>
      <c r="M23" s="638"/>
      <c r="N23" s="632">
        <f>[1]Субсидия_факт!BR25</f>
        <v>0</v>
      </c>
      <c r="O23" s="638"/>
      <c r="P23" s="632">
        <f>[1]Субсидия_факт!BT25</f>
        <v>6100000</v>
      </c>
      <c r="Q23" s="638"/>
      <c r="R23" s="632">
        <f>[1]Субсидия_факт!BV25</f>
        <v>166456.19</v>
      </c>
      <c r="S23" s="638">
        <v>0</v>
      </c>
      <c r="T23" s="632">
        <f>[1]Субсидия_факт!DX25</f>
        <v>15652.17</v>
      </c>
      <c r="U23" s="633">
        <f t="shared" si="4"/>
        <v>15652.17</v>
      </c>
      <c r="V23" s="632">
        <f>[1]Субсидия_факт!HT25</f>
        <v>0</v>
      </c>
      <c r="W23" s="638"/>
      <c r="X23" s="632">
        <f>[1]Субсидия_факт!HX25</f>
        <v>0</v>
      </c>
      <c r="Y23" s="638"/>
      <c r="Z23" s="632">
        <f>[1]Субсидия_факт!HZ25</f>
        <v>0</v>
      </c>
      <c r="AA23" s="638"/>
      <c r="AB23" s="632">
        <f>[1]Субсидия_факт!IB25</f>
        <v>51129544.369999997</v>
      </c>
      <c r="AC23" s="662">
        <v>10599501.68</v>
      </c>
      <c r="AD23" s="636">
        <f>[1]Субсидия_факт!LF25</f>
        <v>34608660.109999999</v>
      </c>
      <c r="AE23" s="637">
        <v>12015838.640000001</v>
      </c>
      <c r="AF23" s="663">
        <f>[1]Субсидия_факт!LL25</f>
        <v>3729042.1000000015</v>
      </c>
      <c r="AG23" s="637"/>
      <c r="AH23" s="664">
        <f>[1]Субсидия_факт!ML25</f>
        <v>0</v>
      </c>
      <c r="AI23" s="665"/>
      <c r="AJ23" s="632">
        <f>[1]Субсидия_факт!MT25</f>
        <v>0</v>
      </c>
      <c r="AK23" s="638"/>
      <c r="AL23" s="632">
        <f>[1]Субсидия_факт!ND25</f>
        <v>0</v>
      </c>
      <c r="AM23" s="638"/>
      <c r="AN23" s="632">
        <f>[1]Субсидия_факт!NJ25</f>
        <v>0</v>
      </c>
      <c r="AO23" s="638"/>
      <c r="AP23" s="666">
        <f>[1]Субсидия_факт!NL25</f>
        <v>3658000</v>
      </c>
      <c r="AQ23" s="638"/>
      <c r="AR23" s="632">
        <f>[1]Субсидия_факт!NR25</f>
        <v>0</v>
      </c>
      <c r="AS23" s="638"/>
      <c r="AT23" s="632">
        <f>[1]Субсидия_факт!NX25</f>
        <v>3658000</v>
      </c>
      <c r="AU23" s="638">
        <v>1248705.8799999999</v>
      </c>
      <c r="AV23" s="632">
        <f>[1]Субсидия_факт!NZ25</f>
        <v>671842.41000000015</v>
      </c>
      <c r="AW23" s="638">
        <v>206770.75</v>
      </c>
      <c r="AX23" s="632">
        <f>[1]Субсидия_факт!OB25</f>
        <v>2339659.63</v>
      </c>
      <c r="AY23" s="638"/>
      <c r="AZ23" s="632">
        <f>[1]Субсидия_факт!OP25</f>
        <v>3782048.87</v>
      </c>
      <c r="BA23" s="638">
        <v>1453698.87</v>
      </c>
      <c r="BB23" s="632">
        <f>[1]Субсидия_факт!OV25</f>
        <v>185321.32</v>
      </c>
      <c r="BC23" s="638">
        <v>80728.08</v>
      </c>
      <c r="BD23" s="632">
        <f>[1]Субсидия_факт!PC25</f>
        <v>106222.74</v>
      </c>
      <c r="BE23" s="638"/>
      <c r="BF23" s="632">
        <f>[1]Субсидия_факт!PE25</f>
        <v>0</v>
      </c>
      <c r="BG23" s="638"/>
      <c r="BH23" s="632">
        <f>[1]Субсидия_факт!PW25</f>
        <v>160272.44</v>
      </c>
      <c r="BI23" s="638"/>
    </row>
    <row r="24" spans="1:61" s="651" customFormat="1" ht="21" customHeight="1" x14ac:dyDescent="0.25">
      <c r="A24" s="1087" t="s">
        <v>1317</v>
      </c>
      <c r="B24" s="1086">
        <f t="shared" si="1"/>
        <v>64518151.93</v>
      </c>
      <c r="C24" s="1023">
        <f t="shared" si="2"/>
        <v>12981234.6</v>
      </c>
      <c r="D24" s="632">
        <f>[1]Субсидия_факт!AB26</f>
        <v>0</v>
      </c>
      <c r="E24" s="633"/>
      <c r="F24" s="632">
        <f>[1]Субсидия_факт!AH26</f>
        <v>222464.53</v>
      </c>
      <c r="G24" s="638">
        <v>120040.47</v>
      </c>
      <c r="H24" s="632">
        <f>[1]Субсидия_факт!AJ26</f>
        <v>0</v>
      </c>
      <c r="I24" s="638"/>
      <c r="J24" s="632">
        <f>[1]Субсидия_факт!BB26</f>
        <v>0</v>
      </c>
      <c r="K24" s="638"/>
      <c r="L24" s="632">
        <f>[1]Субсидия_факт!BD26</f>
        <v>0</v>
      </c>
      <c r="M24" s="638"/>
      <c r="N24" s="632">
        <f>[1]Субсидия_факт!BR26</f>
        <v>3257971.49</v>
      </c>
      <c r="O24" s="638"/>
      <c r="P24" s="632">
        <f>[1]Субсидия_факт!BT26</f>
        <v>300000</v>
      </c>
      <c r="Q24" s="638">
        <v>300000</v>
      </c>
      <c r="R24" s="632">
        <f>[1]Субсидия_факт!BV26</f>
        <v>56024.91</v>
      </c>
      <c r="S24" s="638">
        <v>0</v>
      </c>
      <c r="T24" s="632">
        <f>[1]Субсидия_факт!DX26</f>
        <v>8695.65</v>
      </c>
      <c r="U24" s="633">
        <f t="shared" si="4"/>
        <v>8695.65</v>
      </c>
      <c r="V24" s="632">
        <f>[1]Субсидия_факт!HT26</f>
        <v>0</v>
      </c>
      <c r="W24" s="638"/>
      <c r="X24" s="632">
        <f>[1]Субсидия_факт!HX26</f>
        <v>0</v>
      </c>
      <c r="Y24" s="638"/>
      <c r="Z24" s="632">
        <f>[1]Субсидия_факт!HZ26</f>
        <v>0</v>
      </c>
      <c r="AA24" s="638"/>
      <c r="AB24" s="632">
        <f>[1]Субсидия_факт!IB26</f>
        <v>29315000</v>
      </c>
      <c r="AC24" s="662">
        <v>11562699.949999999</v>
      </c>
      <c r="AD24" s="636">
        <f>[1]Субсидия_факт!LF26</f>
        <v>26315915.960000001</v>
      </c>
      <c r="AE24" s="637"/>
      <c r="AF24" s="663">
        <f>[1]Субсидия_факт!LL26</f>
        <v>0</v>
      </c>
      <c r="AG24" s="637"/>
      <c r="AH24" s="664">
        <f>[1]Субсидия_факт!ML26</f>
        <v>0</v>
      </c>
      <c r="AI24" s="665"/>
      <c r="AJ24" s="632">
        <f>[1]Субсидия_факт!MT26</f>
        <v>0</v>
      </c>
      <c r="AK24" s="638"/>
      <c r="AL24" s="632">
        <f>[1]Субсидия_факт!ND26</f>
        <v>0</v>
      </c>
      <c r="AM24" s="638"/>
      <c r="AN24" s="632">
        <f>[1]Субсидия_факт!NJ26</f>
        <v>0</v>
      </c>
      <c r="AO24" s="638"/>
      <c r="AP24" s="666">
        <f>[1]Субсидия_факт!NL26</f>
        <v>706800</v>
      </c>
      <c r="AQ24" s="638"/>
      <c r="AR24" s="632">
        <f>[1]Субсидия_факт!NR26</f>
        <v>590517.77</v>
      </c>
      <c r="AS24" s="638">
        <v>504555.54</v>
      </c>
      <c r="AT24" s="632">
        <f>[1]Субсидия_факт!NX26</f>
        <v>706800</v>
      </c>
      <c r="AU24" s="638">
        <v>255192</v>
      </c>
      <c r="AV24" s="632">
        <f>[1]Субсидия_факт!NZ26</f>
        <v>580183.91</v>
      </c>
      <c r="AW24" s="638">
        <v>79097.48</v>
      </c>
      <c r="AX24" s="632">
        <f>[1]Субсидия_факт!OB26</f>
        <v>1634033.69</v>
      </c>
      <c r="AY24" s="638"/>
      <c r="AZ24" s="632">
        <f>[1]Субсидия_факт!OP26</f>
        <v>228140</v>
      </c>
      <c r="BA24" s="638">
        <v>15968.22</v>
      </c>
      <c r="BB24" s="632">
        <f>[1]Субсидия_факт!OV26</f>
        <v>377128.78</v>
      </c>
      <c r="BC24" s="638">
        <v>134985.29</v>
      </c>
      <c r="BD24" s="632">
        <f>[1]Субсидия_факт!PC26</f>
        <v>84836.06</v>
      </c>
      <c r="BE24" s="638"/>
      <c r="BF24" s="632">
        <f>[1]Субсидия_факт!PE26</f>
        <v>0</v>
      </c>
      <c r="BG24" s="638"/>
      <c r="BH24" s="632">
        <f>[1]Субсидия_факт!PW26</f>
        <v>133639.18</v>
      </c>
      <c r="BI24" s="638"/>
    </row>
    <row r="25" spans="1:61" s="651" customFormat="1" ht="21" customHeight="1" x14ac:dyDescent="0.25">
      <c r="A25" s="1087" t="s">
        <v>1318</v>
      </c>
      <c r="B25" s="1086">
        <f t="shared" si="1"/>
        <v>88021847.170000002</v>
      </c>
      <c r="C25" s="1023">
        <f t="shared" si="2"/>
        <v>13707574.27</v>
      </c>
      <c r="D25" s="632">
        <f>[1]Субсидия_факт!AB27</f>
        <v>0</v>
      </c>
      <c r="E25" s="633"/>
      <c r="F25" s="632">
        <f>[1]Субсидия_факт!AH27</f>
        <v>232753.51</v>
      </c>
      <c r="G25" s="638">
        <v>232753.51</v>
      </c>
      <c r="H25" s="632">
        <f>[1]Субсидия_факт!AJ27</f>
        <v>0</v>
      </c>
      <c r="I25" s="638"/>
      <c r="J25" s="632">
        <f>[1]Субсидия_факт!BB27</f>
        <v>0</v>
      </c>
      <c r="K25" s="638"/>
      <c r="L25" s="632">
        <f>[1]Субсидия_факт!BD27</f>
        <v>0</v>
      </c>
      <c r="M25" s="638"/>
      <c r="N25" s="632">
        <f>[1]Субсидия_факт!BR27</f>
        <v>0</v>
      </c>
      <c r="O25" s="638"/>
      <c r="P25" s="632">
        <f>[1]Субсидия_факт!BT27</f>
        <v>0</v>
      </c>
      <c r="Q25" s="638"/>
      <c r="R25" s="632">
        <f>[1]Субсидия_факт!BV27</f>
        <v>197063.12</v>
      </c>
      <c r="S25" s="638">
        <v>28238.54</v>
      </c>
      <c r="T25" s="632">
        <f>[1]Субсидия_факт!DX27</f>
        <v>5217.3900000000003</v>
      </c>
      <c r="U25" s="633">
        <f>T25</f>
        <v>5217.3900000000003</v>
      </c>
      <c r="V25" s="632">
        <f>[1]Субсидия_факт!HT27</f>
        <v>0</v>
      </c>
      <c r="W25" s="638"/>
      <c r="X25" s="632">
        <f>[1]Субсидия_факт!HX27</f>
        <v>0</v>
      </c>
      <c r="Y25" s="638"/>
      <c r="Z25" s="632">
        <f>[1]Субсидия_факт!HZ27</f>
        <v>0</v>
      </c>
      <c r="AA25" s="638"/>
      <c r="AB25" s="632">
        <f>[1]Субсидия_факт!IB27</f>
        <v>45124354.030000001</v>
      </c>
      <c r="AC25" s="662">
        <v>13043174.85</v>
      </c>
      <c r="AD25" s="636">
        <f>[1]Субсидия_факт!LF27</f>
        <v>29775911.420000002</v>
      </c>
      <c r="AE25" s="637"/>
      <c r="AF25" s="663">
        <f>[1]Субсидия_факт!LL27</f>
        <v>0</v>
      </c>
      <c r="AG25" s="637"/>
      <c r="AH25" s="664">
        <f>[1]Субсидия_факт!ML27</f>
        <v>0</v>
      </c>
      <c r="AI25" s="665"/>
      <c r="AJ25" s="632">
        <f>[1]Субсидия_факт!MT27</f>
        <v>9000000</v>
      </c>
      <c r="AK25" s="638"/>
      <c r="AL25" s="632">
        <f>[1]Субсидия_факт!ND27</f>
        <v>0</v>
      </c>
      <c r="AM25" s="638"/>
      <c r="AN25" s="632">
        <f>[1]Субсидия_факт!NJ27</f>
        <v>504797.45</v>
      </c>
      <c r="AO25" s="638"/>
      <c r="AP25" s="666">
        <f>[1]Субсидия_факт!NL27</f>
        <v>714400</v>
      </c>
      <c r="AQ25" s="638"/>
      <c r="AR25" s="632">
        <f>[1]Субсидия_факт!NR27</f>
        <v>0</v>
      </c>
      <c r="AS25" s="638"/>
      <c r="AT25" s="632">
        <f>[1]Субсидия_факт!NX27</f>
        <v>714400</v>
      </c>
      <c r="AU25" s="638">
        <v>255639.26</v>
      </c>
      <c r="AV25" s="632">
        <f>[1]Субсидия_факт!NZ27</f>
        <v>493719.02</v>
      </c>
      <c r="AW25" s="638">
        <v>90069.98</v>
      </c>
      <c r="AX25" s="632">
        <f>[1]Субсидия_факт!OB27</f>
        <v>530797.61</v>
      </c>
      <c r="AY25" s="638"/>
      <c r="AZ25" s="632">
        <f>[1]Субсидия_факт!OP27</f>
        <v>533720</v>
      </c>
      <c r="BA25" s="638">
        <v>0</v>
      </c>
      <c r="BB25" s="632">
        <f>[1]Субсидия_факт!OV27</f>
        <v>194713.62</v>
      </c>
      <c r="BC25" s="638">
        <v>52480.74</v>
      </c>
      <c r="BD25" s="632">
        <f>[1]Субсидия_факт!PC27</f>
        <v>0</v>
      </c>
      <c r="BE25" s="638"/>
      <c r="BF25" s="632">
        <f>[1]Субсидия_факт!PE27</f>
        <v>0</v>
      </c>
      <c r="BG25" s="638"/>
      <c r="BH25" s="632">
        <f>[1]Субсидия_факт!PW27</f>
        <v>0</v>
      </c>
      <c r="BI25" s="638"/>
    </row>
    <row r="26" spans="1:61" s="651" customFormat="1" ht="21" customHeight="1" x14ac:dyDescent="0.25">
      <c r="A26" s="1088" t="s">
        <v>336</v>
      </c>
      <c r="B26" s="672">
        <f t="shared" ref="B26:AG26" si="5">SUM(B8:B25)</f>
        <v>2017204318.7400005</v>
      </c>
      <c r="C26" s="645">
        <f t="shared" si="5"/>
        <v>438917883.50000006</v>
      </c>
      <c r="D26" s="645">
        <f t="shared" si="5"/>
        <v>0</v>
      </c>
      <c r="E26" s="645">
        <f t="shared" si="5"/>
        <v>0</v>
      </c>
      <c r="F26" s="645">
        <f t="shared" si="5"/>
        <v>4221427.59</v>
      </c>
      <c r="G26" s="645">
        <f t="shared" si="5"/>
        <v>2610283.58</v>
      </c>
      <c r="H26" s="645">
        <f t="shared" si="5"/>
        <v>476800</v>
      </c>
      <c r="I26" s="645">
        <f t="shared" si="5"/>
        <v>324826.40000000002</v>
      </c>
      <c r="J26" s="645">
        <f t="shared" si="5"/>
        <v>54677198.120000005</v>
      </c>
      <c r="K26" s="645">
        <f t="shared" si="5"/>
        <v>0</v>
      </c>
      <c r="L26" s="645">
        <f t="shared" si="5"/>
        <v>12000000</v>
      </c>
      <c r="M26" s="645">
        <f t="shared" si="5"/>
        <v>0</v>
      </c>
      <c r="N26" s="645">
        <f t="shared" si="5"/>
        <v>26845200</v>
      </c>
      <c r="O26" s="645">
        <f t="shared" si="5"/>
        <v>0</v>
      </c>
      <c r="P26" s="645">
        <f t="shared" si="5"/>
        <v>17293000</v>
      </c>
      <c r="Q26" s="645">
        <f t="shared" si="5"/>
        <v>627052.15999999992</v>
      </c>
      <c r="R26" s="645">
        <f t="shared" si="5"/>
        <v>2605151.83</v>
      </c>
      <c r="S26" s="645">
        <f t="shared" si="5"/>
        <v>727352.57</v>
      </c>
      <c r="T26" s="645">
        <f t="shared" si="5"/>
        <v>267826.09000000003</v>
      </c>
      <c r="U26" s="645">
        <f t="shared" si="5"/>
        <v>267826.09000000003</v>
      </c>
      <c r="V26" s="645">
        <f t="shared" si="5"/>
        <v>101494836.71000001</v>
      </c>
      <c r="W26" s="645">
        <f t="shared" si="5"/>
        <v>40690538.850000001</v>
      </c>
      <c r="X26" s="645">
        <f t="shared" si="5"/>
        <v>1012337.620000001</v>
      </c>
      <c r="Y26" s="645">
        <f t="shared" si="5"/>
        <v>0</v>
      </c>
      <c r="Z26" s="645">
        <f t="shared" si="5"/>
        <v>343082319.56999999</v>
      </c>
      <c r="AA26" s="645">
        <f t="shared" si="5"/>
        <v>26217353.300000001</v>
      </c>
      <c r="AB26" s="645">
        <f t="shared" si="5"/>
        <v>614522125.28999996</v>
      </c>
      <c r="AC26" s="669">
        <f t="shared" si="5"/>
        <v>236785751.39999998</v>
      </c>
      <c r="AD26" s="637">
        <f t="shared" si="5"/>
        <v>511900921.38000005</v>
      </c>
      <c r="AE26" s="637">
        <f t="shared" si="5"/>
        <v>100753673.26000001</v>
      </c>
      <c r="AF26" s="670">
        <f t="shared" si="5"/>
        <v>3729042.1000000015</v>
      </c>
      <c r="AG26" s="637">
        <f t="shared" si="5"/>
        <v>0</v>
      </c>
      <c r="AH26" s="671">
        <f t="shared" ref="AH26:BI26" si="6">SUM(AH8:AH25)</f>
        <v>0</v>
      </c>
      <c r="AI26" s="671">
        <f t="shared" si="6"/>
        <v>0</v>
      </c>
      <c r="AJ26" s="645">
        <f t="shared" si="6"/>
        <v>99784698.480000004</v>
      </c>
      <c r="AK26" s="645">
        <f t="shared" si="6"/>
        <v>4965519.3899999997</v>
      </c>
      <c r="AL26" s="645">
        <f t="shared" si="6"/>
        <v>97156620</v>
      </c>
      <c r="AM26" s="645">
        <f t="shared" si="6"/>
        <v>0</v>
      </c>
      <c r="AN26" s="645">
        <f t="shared" si="6"/>
        <v>2221320.4200000004</v>
      </c>
      <c r="AO26" s="645">
        <f t="shared" si="6"/>
        <v>0</v>
      </c>
      <c r="AP26" s="672">
        <f t="shared" si="6"/>
        <v>28310000</v>
      </c>
      <c r="AQ26" s="645">
        <f t="shared" si="6"/>
        <v>0</v>
      </c>
      <c r="AR26" s="645">
        <f t="shared" si="6"/>
        <v>2778679.5799999996</v>
      </c>
      <c r="AS26" s="645">
        <f t="shared" si="6"/>
        <v>2113684.23</v>
      </c>
      <c r="AT26" s="645">
        <f t="shared" si="6"/>
        <v>28310000</v>
      </c>
      <c r="AU26" s="645">
        <f t="shared" si="6"/>
        <v>13771016.130000001</v>
      </c>
      <c r="AV26" s="645">
        <f t="shared" si="6"/>
        <v>19680599.999999996</v>
      </c>
      <c r="AW26" s="645">
        <f t="shared" si="6"/>
        <v>2143546.91</v>
      </c>
      <c r="AX26" s="645">
        <f t="shared" si="6"/>
        <v>14699999.999999998</v>
      </c>
      <c r="AY26" s="645">
        <f t="shared" si="6"/>
        <v>0</v>
      </c>
      <c r="AZ26" s="645">
        <f t="shared" si="6"/>
        <v>20130231.120000001</v>
      </c>
      <c r="BA26" s="645">
        <f t="shared" si="6"/>
        <v>3850967.7</v>
      </c>
      <c r="BB26" s="645">
        <f t="shared" si="6"/>
        <v>6341171.7000000002</v>
      </c>
      <c r="BC26" s="645">
        <f t="shared" si="6"/>
        <v>2600965.1300000004</v>
      </c>
      <c r="BD26" s="645">
        <f t="shared" si="6"/>
        <v>993511.96</v>
      </c>
      <c r="BE26" s="645">
        <f t="shared" si="6"/>
        <v>81910.460000000006</v>
      </c>
      <c r="BF26" s="645">
        <f t="shared" si="6"/>
        <v>1497946.03</v>
      </c>
      <c r="BG26" s="645">
        <f t="shared" si="6"/>
        <v>0</v>
      </c>
      <c r="BH26" s="645">
        <f t="shared" si="6"/>
        <v>1171353.1499999999</v>
      </c>
      <c r="BI26" s="645">
        <f t="shared" si="6"/>
        <v>385615.94</v>
      </c>
    </row>
    <row r="27" spans="1:61" s="651" customFormat="1" ht="21" customHeight="1" x14ac:dyDescent="0.25">
      <c r="A27" s="667"/>
      <c r="B27" s="632"/>
      <c r="C27" s="632"/>
      <c r="D27" s="632"/>
      <c r="E27" s="638"/>
      <c r="F27" s="632"/>
      <c r="G27" s="638"/>
      <c r="H27" s="632"/>
      <c r="I27" s="638"/>
      <c r="J27" s="638"/>
      <c r="K27" s="638"/>
      <c r="L27" s="638"/>
      <c r="M27" s="638"/>
      <c r="N27" s="638"/>
      <c r="O27" s="638"/>
      <c r="P27" s="638"/>
      <c r="Q27" s="638"/>
      <c r="R27" s="638"/>
      <c r="S27" s="638"/>
      <c r="T27" s="632"/>
      <c r="U27" s="638"/>
      <c r="V27" s="645"/>
      <c r="W27" s="638"/>
      <c r="X27" s="645"/>
      <c r="Y27" s="638"/>
      <c r="Z27" s="645"/>
      <c r="AA27" s="638"/>
      <c r="AB27" s="645"/>
      <c r="AC27" s="662"/>
      <c r="AD27" s="637"/>
      <c r="AE27" s="637"/>
      <c r="AF27" s="670"/>
      <c r="AG27" s="637"/>
      <c r="AH27" s="664"/>
      <c r="AI27" s="665"/>
      <c r="AJ27" s="632"/>
      <c r="AK27" s="638"/>
      <c r="AL27" s="645"/>
      <c r="AM27" s="638"/>
      <c r="AN27" s="645"/>
      <c r="AO27" s="638"/>
      <c r="AP27" s="666"/>
      <c r="AQ27" s="638"/>
      <c r="AR27" s="632"/>
      <c r="AS27" s="638"/>
      <c r="AT27" s="638"/>
      <c r="AU27" s="638"/>
      <c r="AV27" s="632"/>
      <c r="AW27" s="638"/>
      <c r="AX27" s="638"/>
      <c r="AY27" s="638"/>
      <c r="AZ27" s="632"/>
      <c r="BA27" s="638"/>
      <c r="BB27" s="632"/>
      <c r="BC27" s="638"/>
      <c r="BD27" s="645"/>
      <c r="BE27" s="638"/>
      <c r="BF27" s="645"/>
      <c r="BG27" s="638"/>
      <c r="BH27" s="645"/>
      <c r="BI27" s="638"/>
    </row>
    <row r="28" spans="1:61" s="651" customFormat="1" ht="21" customHeight="1" x14ac:dyDescent="0.25">
      <c r="A28" s="1087" t="s">
        <v>1319</v>
      </c>
      <c r="B28" s="1086">
        <f t="shared" ref="B28:B29" si="7">F28+N28+R28+T28+AJ28+AV28+AP28+BB28+BD28+AL28+AX28+AT28+AN28+BH28+AR28+D28+P28+J28+AB28+AH28+AF28+V28+BF28+AZ28+H28+AD28+L28+Z28+X28</f>
        <v>93476545.650000006</v>
      </c>
      <c r="C28" s="1023">
        <f t="shared" ref="C28:C29" si="8">G28+O28+S28+U28+AK28+AW28+AQ28+BC28+BE28+AM28+AY28+AU28+AO28+BI28+AS28+E28+Q28+K28+AC28+AI28+AG28+W28+BG28+BA28+I28+AE28+M28+AA28+Y28</f>
        <v>32848529.170000002</v>
      </c>
      <c r="D28" s="632">
        <f>[1]Субсидия_факт!AB30</f>
        <v>0</v>
      </c>
      <c r="E28" s="633"/>
      <c r="F28" s="632">
        <f>[1]Субсидия_факт!AH30</f>
        <v>605309.13</v>
      </c>
      <c r="G28" s="638">
        <v>170908.32</v>
      </c>
      <c r="H28" s="632">
        <f>[1]Субсидия_факт!AJ30</f>
        <v>2200444.5</v>
      </c>
      <c r="I28" s="638">
        <v>1743723.42</v>
      </c>
      <c r="J28" s="632">
        <f>[1]Субсидия_факт!BB30</f>
        <v>0</v>
      </c>
      <c r="K28" s="638"/>
      <c r="L28" s="632">
        <f>[1]Субсидия_факт!BD30</f>
        <v>12000000</v>
      </c>
      <c r="M28" s="638"/>
      <c r="N28" s="632">
        <f>[1]Субсидия_факт!BR30</f>
        <v>0</v>
      </c>
      <c r="O28" s="638"/>
      <c r="P28" s="632">
        <f>[1]Субсидия_факт!BT30</f>
        <v>0</v>
      </c>
      <c r="Q28" s="638"/>
      <c r="R28" s="632">
        <f>[1]Субсидия_факт!BV30</f>
        <v>368451.74</v>
      </c>
      <c r="S28" s="638">
        <v>117999.2</v>
      </c>
      <c r="T28" s="632">
        <f>[1]Субсидия_факт!DX30</f>
        <v>78260.87</v>
      </c>
      <c r="U28" s="633">
        <f t="shared" ref="U28:U29" si="9">T28</f>
        <v>78260.87</v>
      </c>
      <c r="V28" s="632">
        <f>[1]Субсидия_факт!HT30</f>
        <v>0</v>
      </c>
      <c r="W28" s="638"/>
      <c r="X28" s="632">
        <f>[1]Субсидия_факт!HX30</f>
        <v>0</v>
      </c>
      <c r="Y28" s="638"/>
      <c r="Z28" s="632">
        <f>[1]Субсидия_факт!HZ30</f>
        <v>0</v>
      </c>
      <c r="AA28" s="638"/>
      <c r="AB28" s="632">
        <f>[1]Субсидия_факт!IB30</f>
        <v>0</v>
      </c>
      <c r="AC28" s="662"/>
      <c r="AD28" s="636">
        <f>[1]Субсидия_факт!LF30</f>
        <v>8836097.5</v>
      </c>
      <c r="AE28" s="637"/>
      <c r="AF28" s="663">
        <f>[1]Субсидия_факт!LL30</f>
        <v>35219325.390000001</v>
      </c>
      <c r="AG28" s="637">
        <v>23061819.960000001</v>
      </c>
      <c r="AH28" s="664">
        <f>[1]Субсидия_факт!ML30</f>
        <v>0</v>
      </c>
      <c r="AI28" s="665"/>
      <c r="AJ28" s="632">
        <f>[1]Субсидия_факт!MT30</f>
        <v>0</v>
      </c>
      <c r="AK28" s="638"/>
      <c r="AL28" s="632">
        <f>[1]Субсидия_факт!ND30</f>
        <v>0</v>
      </c>
      <c r="AM28" s="638"/>
      <c r="AN28" s="632">
        <f>[1]Субсидия_факт!NJ30</f>
        <v>0</v>
      </c>
      <c r="AO28" s="638"/>
      <c r="AP28" s="666">
        <f>[1]Субсидия_факт!NL30</f>
        <v>15450750</v>
      </c>
      <c r="AQ28" s="638"/>
      <c r="AR28" s="632">
        <f>[1]Субсидия_факт!NR30</f>
        <v>0</v>
      </c>
      <c r="AS28" s="638"/>
      <c r="AT28" s="632">
        <f>[1]Субсидия_факт!NX30</f>
        <v>15450750</v>
      </c>
      <c r="AU28" s="638">
        <v>7452264.96</v>
      </c>
      <c r="AV28" s="632">
        <f>[1]Субсидия_факт!NZ30</f>
        <v>0</v>
      </c>
      <c r="AW28" s="633"/>
      <c r="AX28" s="632">
        <f>[1]Субсидия_факт!OB30</f>
        <v>0</v>
      </c>
      <c r="AY28" s="638"/>
      <c r="AZ28" s="632">
        <f>[1]Субсидия_факт!OP30</f>
        <v>2142010</v>
      </c>
      <c r="BA28" s="633"/>
      <c r="BB28" s="632">
        <f>[1]Субсидия_факт!OV30</f>
        <v>826233.13</v>
      </c>
      <c r="BC28" s="638">
        <v>223552.44</v>
      </c>
      <c r="BD28" s="632">
        <f>[1]Субсидия_факт!PC30</f>
        <v>170266.54</v>
      </c>
      <c r="BE28" s="638"/>
      <c r="BF28" s="632">
        <f>[1]Субсидия_факт!PE30</f>
        <v>0</v>
      </c>
      <c r="BG28" s="638"/>
      <c r="BH28" s="632">
        <f>[1]Субсидия_факт!PW30</f>
        <v>128646.85</v>
      </c>
      <c r="BI28" s="638"/>
    </row>
    <row r="29" spans="1:61" s="651" customFormat="1" ht="21" customHeight="1" x14ac:dyDescent="0.25">
      <c r="A29" s="1087" t="s">
        <v>1320</v>
      </c>
      <c r="B29" s="1086">
        <f t="shared" si="7"/>
        <v>1845982488.7</v>
      </c>
      <c r="C29" s="1023">
        <f t="shared" si="8"/>
        <v>490080943.34000003</v>
      </c>
      <c r="D29" s="632">
        <f>[1]Субсидия_факт!AB31</f>
        <v>0</v>
      </c>
      <c r="E29" s="633"/>
      <c r="F29" s="632">
        <f>[1]Субсидия_факт!AH31</f>
        <v>573263.28</v>
      </c>
      <c r="G29" s="638">
        <v>436566.99</v>
      </c>
      <c r="H29" s="632">
        <f>[1]Субсидия_факт!AJ31</f>
        <v>5822755.5</v>
      </c>
      <c r="I29" s="638">
        <v>1617536.85</v>
      </c>
      <c r="J29" s="632">
        <f>[1]Субсидия_факт!BB31</f>
        <v>218122801.88</v>
      </c>
      <c r="K29" s="638"/>
      <c r="L29" s="632">
        <f>[1]Субсидия_факт!BD31</f>
        <v>36000000</v>
      </c>
      <c r="M29" s="638"/>
      <c r="N29" s="632">
        <f>[1]Субсидия_факт!BR31</f>
        <v>0</v>
      </c>
      <c r="O29" s="638"/>
      <c r="P29" s="632">
        <f>[1]Субсидия_факт!BT31</f>
        <v>109890300</v>
      </c>
      <c r="Q29" s="638"/>
      <c r="R29" s="632">
        <f>[1]Субсидия_факт!BV31</f>
        <v>2026396.43</v>
      </c>
      <c r="S29" s="638">
        <v>673237.8</v>
      </c>
      <c r="T29" s="632">
        <f>[1]Субсидия_факт!DX31</f>
        <v>246956.52</v>
      </c>
      <c r="U29" s="633">
        <f t="shared" si="9"/>
        <v>246956.52</v>
      </c>
      <c r="V29" s="632">
        <f>[1]Субсидия_факт!HT31</f>
        <v>39227634</v>
      </c>
      <c r="W29" s="638">
        <v>8693388.3900000006</v>
      </c>
      <c r="X29" s="632">
        <f>[1]Субсидия_факт!HX31</f>
        <v>360000000</v>
      </c>
      <c r="Y29" s="638">
        <v>305562281.93000001</v>
      </c>
      <c r="Z29" s="632">
        <f>[1]Субсидия_факт!HZ31</f>
        <v>440147472.10000002</v>
      </c>
      <c r="AA29" s="638"/>
      <c r="AB29" s="632">
        <f>[1]Субсидия_факт!IB31</f>
        <v>0</v>
      </c>
      <c r="AC29" s="662"/>
      <c r="AD29" s="636">
        <f>[1]Субсидия_факт!LF31</f>
        <v>138440000</v>
      </c>
      <c r="AE29" s="637"/>
      <c r="AF29" s="663">
        <f>[1]Субсидия_факт!LL31</f>
        <v>114780674.61</v>
      </c>
      <c r="AG29" s="637">
        <v>91971843.239999995</v>
      </c>
      <c r="AH29" s="664">
        <f>[1]Субсидия_факт!ML31</f>
        <v>0</v>
      </c>
      <c r="AI29" s="665"/>
      <c r="AJ29" s="632">
        <f>[1]Субсидия_факт!MT31</f>
        <v>0</v>
      </c>
      <c r="AK29" s="638"/>
      <c r="AL29" s="632">
        <f>[1]Субсидия_факт!ND31</f>
        <v>18900000</v>
      </c>
      <c r="AM29" s="638"/>
      <c r="AN29" s="632">
        <f>[1]Субсидия_факт!NJ31</f>
        <v>20000000</v>
      </c>
      <c r="AO29" s="638"/>
      <c r="AP29" s="666">
        <f>[1]Субсидия_факт!NL31</f>
        <v>168063410</v>
      </c>
      <c r="AQ29" s="638"/>
      <c r="AR29" s="632">
        <f>[1]Субсидия_факт!NR31</f>
        <v>0</v>
      </c>
      <c r="AS29" s="638"/>
      <c r="AT29" s="632">
        <f>[1]Субсидия_факт!NX31</f>
        <v>168063410</v>
      </c>
      <c r="AU29" s="638">
        <v>80245711.349999994</v>
      </c>
      <c r="AV29" s="632">
        <f>[1]Субсидия_факт!NZ31</f>
        <v>0</v>
      </c>
      <c r="AW29" s="633"/>
      <c r="AX29" s="632">
        <f>[1]Субсидия_факт!OB31</f>
        <v>0</v>
      </c>
      <c r="AY29" s="638"/>
      <c r="AZ29" s="632">
        <f>[1]Субсидия_факт!OP31</f>
        <v>2450510</v>
      </c>
      <c r="BA29" s="633"/>
      <c r="BB29" s="632">
        <f>[1]Субсидия_факт!OV31</f>
        <v>1888482.88</v>
      </c>
      <c r="BC29" s="638">
        <v>633420.27</v>
      </c>
      <c r="BD29" s="632">
        <f>[1]Субсидия_факт!PC31</f>
        <v>836221.5</v>
      </c>
      <c r="BE29" s="638"/>
      <c r="BF29" s="632">
        <f>[1]Субсидия_факт!PE31</f>
        <v>502200</v>
      </c>
      <c r="BG29" s="638"/>
      <c r="BH29" s="632">
        <f>[1]Субсидия_факт!PW31</f>
        <v>0</v>
      </c>
      <c r="BI29" s="638"/>
    </row>
    <row r="30" spans="1:61" s="651" customFormat="1" ht="21" customHeight="1" x14ac:dyDescent="0.25">
      <c r="A30" s="1088" t="s">
        <v>339</v>
      </c>
      <c r="B30" s="643">
        <f t="shared" ref="B30:BI30" si="10">SUM(B28:B29)</f>
        <v>1939459034.3500001</v>
      </c>
      <c r="C30" s="643">
        <f t="shared" si="10"/>
        <v>522929472.51000005</v>
      </c>
      <c r="D30" s="643">
        <f t="shared" si="10"/>
        <v>0</v>
      </c>
      <c r="E30" s="643">
        <f>SUM(E28:E29)</f>
        <v>0</v>
      </c>
      <c r="F30" s="643">
        <f t="shared" si="10"/>
        <v>1178572.4100000001</v>
      </c>
      <c r="G30" s="643">
        <f>SUM(G28:G29)</f>
        <v>607475.31000000006</v>
      </c>
      <c r="H30" s="643">
        <f t="shared" ref="H30" si="11">SUM(H28:H29)</f>
        <v>8023200</v>
      </c>
      <c r="I30" s="643">
        <f>SUM(I28:I29)</f>
        <v>3361260.27</v>
      </c>
      <c r="J30" s="643">
        <f>SUM(J28:J29)</f>
        <v>218122801.88</v>
      </c>
      <c r="K30" s="643">
        <f t="shared" ref="K30:M30" si="12">SUM(K28:K29)</f>
        <v>0</v>
      </c>
      <c r="L30" s="643">
        <f>SUM(L28:L29)</f>
        <v>48000000</v>
      </c>
      <c r="M30" s="643">
        <f t="shared" si="12"/>
        <v>0</v>
      </c>
      <c r="N30" s="643">
        <f>SUM(N28:N29)</f>
        <v>0</v>
      </c>
      <c r="O30" s="643">
        <f t="shared" ref="O30" si="13">SUM(O28:O29)</f>
        <v>0</v>
      </c>
      <c r="P30" s="643">
        <f>SUM(P28:P29)</f>
        <v>109890300</v>
      </c>
      <c r="Q30" s="643">
        <f>SUM(Q28:Q29)</f>
        <v>0</v>
      </c>
      <c r="R30" s="643">
        <f>SUM(R28:R29)</f>
        <v>2394848.17</v>
      </c>
      <c r="S30" s="643">
        <f>SUM(S28:S29)</f>
        <v>791237</v>
      </c>
      <c r="T30" s="643">
        <f t="shared" si="10"/>
        <v>325217.39</v>
      </c>
      <c r="U30" s="643">
        <f t="shared" si="10"/>
        <v>325217.39</v>
      </c>
      <c r="V30" s="673">
        <f t="shared" si="10"/>
        <v>39227634</v>
      </c>
      <c r="W30" s="643">
        <f t="shared" si="10"/>
        <v>8693388.3900000006</v>
      </c>
      <c r="X30" s="673">
        <f t="shared" ref="X30:Y30" si="14">SUM(X28:X29)</f>
        <v>360000000</v>
      </c>
      <c r="Y30" s="673">
        <f t="shared" si="14"/>
        <v>305562281.93000001</v>
      </c>
      <c r="Z30" s="673">
        <f t="shared" si="10"/>
        <v>440147472.10000002</v>
      </c>
      <c r="AA30" s="673">
        <f t="shared" si="10"/>
        <v>0</v>
      </c>
      <c r="AB30" s="673">
        <f t="shared" si="10"/>
        <v>0</v>
      </c>
      <c r="AC30" s="674">
        <f t="shared" si="10"/>
        <v>0</v>
      </c>
      <c r="AD30" s="637">
        <f>SUM(AD28:AD29)</f>
        <v>147276097.5</v>
      </c>
      <c r="AE30" s="637">
        <f>SUM(AE28:AE29)</f>
        <v>0</v>
      </c>
      <c r="AF30" s="670">
        <f t="shared" si="10"/>
        <v>150000000</v>
      </c>
      <c r="AG30" s="637">
        <f t="shared" si="10"/>
        <v>115033663.19999999</v>
      </c>
      <c r="AH30" s="675">
        <f t="shared" si="10"/>
        <v>0</v>
      </c>
      <c r="AI30" s="675">
        <f t="shared" si="10"/>
        <v>0</v>
      </c>
      <c r="AJ30" s="643">
        <f t="shared" si="10"/>
        <v>0</v>
      </c>
      <c r="AK30" s="643">
        <f t="shared" si="10"/>
        <v>0</v>
      </c>
      <c r="AL30" s="673">
        <f>SUM(AL28:AL29)</f>
        <v>18900000</v>
      </c>
      <c r="AM30" s="643">
        <f>SUM(AM28:AM29)</f>
        <v>0</v>
      </c>
      <c r="AN30" s="673">
        <f t="shared" ref="AN30:AO30" si="15">SUM(AN28:AN29)</f>
        <v>20000000</v>
      </c>
      <c r="AO30" s="643">
        <f t="shared" si="15"/>
        <v>0</v>
      </c>
      <c r="AP30" s="643">
        <f>SUM(AP28:AP29)</f>
        <v>183514160</v>
      </c>
      <c r="AQ30" s="643">
        <f>SUM(AQ28:AQ29)</f>
        <v>0</v>
      </c>
      <c r="AR30" s="643">
        <f t="shared" ref="AR30:AS30" si="16">SUM(AR28:AR29)</f>
        <v>0</v>
      </c>
      <c r="AS30" s="643">
        <f t="shared" si="16"/>
        <v>0</v>
      </c>
      <c r="AT30" s="643">
        <f>SUM(AT28:AT29)</f>
        <v>183514160</v>
      </c>
      <c r="AU30" s="643">
        <f>SUM(AU28:AU29)</f>
        <v>87697976.309999987</v>
      </c>
      <c r="AV30" s="643">
        <f t="shared" ref="AV30:BC30" si="17">SUM(AV28:AV29)</f>
        <v>0</v>
      </c>
      <c r="AW30" s="643">
        <f t="shared" si="17"/>
        <v>0</v>
      </c>
      <c r="AX30" s="643">
        <f t="shared" si="17"/>
        <v>0</v>
      </c>
      <c r="AY30" s="643">
        <f t="shared" si="17"/>
        <v>0</v>
      </c>
      <c r="AZ30" s="673">
        <f t="shared" si="17"/>
        <v>4592520</v>
      </c>
      <c r="BA30" s="673">
        <f t="shared" si="17"/>
        <v>0</v>
      </c>
      <c r="BB30" s="673">
        <f t="shared" si="17"/>
        <v>2714716.01</v>
      </c>
      <c r="BC30" s="673">
        <f t="shared" si="17"/>
        <v>856972.71</v>
      </c>
      <c r="BD30" s="673">
        <f t="shared" si="10"/>
        <v>1006488.04</v>
      </c>
      <c r="BE30" s="643">
        <f t="shared" si="10"/>
        <v>0</v>
      </c>
      <c r="BF30" s="673">
        <f t="shared" si="10"/>
        <v>502200</v>
      </c>
      <c r="BG30" s="643">
        <f t="shared" si="10"/>
        <v>0</v>
      </c>
      <c r="BH30" s="673">
        <f t="shared" si="10"/>
        <v>128646.85</v>
      </c>
      <c r="BI30" s="643">
        <f t="shared" si="10"/>
        <v>0</v>
      </c>
    </row>
    <row r="31" spans="1:61" s="651" customFormat="1" ht="21" customHeight="1" x14ac:dyDescent="0.25">
      <c r="A31" s="667"/>
      <c r="B31" s="676"/>
      <c r="C31" s="676"/>
      <c r="D31" s="645"/>
      <c r="E31" s="645"/>
      <c r="F31" s="645"/>
      <c r="G31" s="645"/>
      <c r="H31" s="645"/>
      <c r="I31" s="645"/>
      <c r="J31" s="645"/>
      <c r="K31" s="645"/>
      <c r="L31" s="645"/>
      <c r="M31" s="645"/>
      <c r="N31" s="645"/>
      <c r="O31" s="645"/>
      <c r="P31" s="645"/>
      <c r="Q31" s="645"/>
      <c r="R31" s="645"/>
      <c r="S31" s="645"/>
      <c r="T31" s="677"/>
      <c r="U31" s="645"/>
      <c r="V31" s="645"/>
      <c r="W31" s="645"/>
      <c r="X31" s="645"/>
      <c r="Y31" s="645"/>
      <c r="Z31" s="645"/>
      <c r="AA31" s="645"/>
      <c r="AB31" s="645"/>
      <c r="AC31" s="669"/>
      <c r="AD31" s="637"/>
      <c r="AE31" s="637"/>
      <c r="AF31" s="670"/>
      <c r="AG31" s="637"/>
      <c r="AH31" s="678"/>
      <c r="AI31" s="671"/>
      <c r="AJ31" s="677"/>
      <c r="AK31" s="645"/>
      <c r="AL31" s="645"/>
      <c r="AM31" s="645"/>
      <c r="AN31" s="645"/>
      <c r="AO31" s="645"/>
      <c r="AP31" s="672"/>
      <c r="AQ31" s="645"/>
      <c r="AR31" s="645"/>
      <c r="AS31" s="645"/>
      <c r="AT31" s="645"/>
      <c r="AU31" s="645"/>
      <c r="AV31" s="677"/>
      <c r="AW31" s="645"/>
      <c r="AX31" s="645"/>
      <c r="AY31" s="645"/>
      <c r="AZ31" s="645"/>
      <c r="BA31" s="645"/>
      <c r="BB31" s="645"/>
      <c r="BC31" s="645"/>
      <c r="BD31" s="645"/>
      <c r="BE31" s="645"/>
      <c r="BF31" s="645"/>
      <c r="BG31" s="645"/>
      <c r="BH31" s="645"/>
      <c r="BI31" s="645"/>
    </row>
    <row r="32" spans="1:61" s="651" customFormat="1" ht="21" customHeight="1" x14ac:dyDescent="0.25">
      <c r="A32" s="667"/>
      <c r="B32" s="676"/>
      <c r="C32" s="676"/>
      <c r="D32" s="645"/>
      <c r="E32" s="645"/>
      <c r="F32" s="645"/>
      <c r="G32" s="645"/>
      <c r="H32" s="645"/>
      <c r="I32" s="645"/>
      <c r="J32" s="645"/>
      <c r="K32" s="645"/>
      <c r="L32" s="645"/>
      <c r="M32" s="645"/>
      <c r="N32" s="645"/>
      <c r="O32" s="645"/>
      <c r="P32" s="645"/>
      <c r="Q32" s="645"/>
      <c r="R32" s="645"/>
      <c r="S32" s="645"/>
      <c r="T32" s="677"/>
      <c r="U32" s="645"/>
      <c r="V32" s="645"/>
      <c r="W32" s="645"/>
      <c r="X32" s="645"/>
      <c r="Y32" s="645"/>
      <c r="Z32" s="645"/>
      <c r="AA32" s="645"/>
      <c r="AB32" s="645"/>
      <c r="AC32" s="669"/>
      <c r="AD32" s="637"/>
      <c r="AE32" s="637"/>
      <c r="AF32" s="670"/>
      <c r="AG32" s="637"/>
      <c r="AH32" s="678"/>
      <c r="AI32" s="671"/>
      <c r="AJ32" s="677"/>
      <c r="AK32" s="645"/>
      <c r="AL32" s="645"/>
      <c r="AM32" s="645"/>
      <c r="AN32" s="645"/>
      <c r="AO32" s="645"/>
      <c r="AP32" s="672"/>
      <c r="AQ32" s="645"/>
      <c r="AR32" s="645"/>
      <c r="AS32" s="645"/>
      <c r="AT32" s="645"/>
      <c r="AU32" s="645"/>
      <c r="AV32" s="677"/>
      <c r="AW32" s="645"/>
      <c r="AX32" s="645"/>
      <c r="AY32" s="645"/>
      <c r="AZ32" s="645"/>
      <c r="BA32" s="645"/>
      <c r="BB32" s="645"/>
      <c r="BC32" s="645"/>
      <c r="BD32" s="645"/>
      <c r="BE32" s="645"/>
      <c r="BF32" s="645"/>
      <c r="BG32" s="645"/>
      <c r="BH32" s="645"/>
      <c r="BI32" s="645"/>
    </row>
    <row r="33" spans="1:61" s="649" customFormat="1" ht="21" customHeight="1" x14ac:dyDescent="0.25">
      <c r="A33" s="673" t="s">
        <v>340</v>
      </c>
      <c r="B33" s="643">
        <f t="shared" ref="B33:BI33" si="18">B26+B30</f>
        <v>3956663353.0900006</v>
      </c>
      <c r="C33" s="643">
        <f t="shared" si="18"/>
        <v>961847356.01000011</v>
      </c>
      <c r="D33" s="643">
        <f t="shared" si="18"/>
        <v>0</v>
      </c>
      <c r="E33" s="643">
        <f t="shared" si="18"/>
        <v>0</v>
      </c>
      <c r="F33" s="643">
        <f t="shared" si="18"/>
        <v>5400000</v>
      </c>
      <c r="G33" s="643">
        <f t="shared" si="18"/>
        <v>3217758.89</v>
      </c>
      <c r="H33" s="643">
        <f t="shared" si="18"/>
        <v>8500000</v>
      </c>
      <c r="I33" s="643">
        <f t="shared" si="18"/>
        <v>3686086.67</v>
      </c>
      <c r="J33" s="643">
        <f t="shared" si="18"/>
        <v>272800000</v>
      </c>
      <c r="K33" s="643">
        <f t="shared" si="18"/>
        <v>0</v>
      </c>
      <c r="L33" s="643">
        <f t="shared" si="18"/>
        <v>60000000</v>
      </c>
      <c r="M33" s="643">
        <f t="shared" si="18"/>
        <v>0</v>
      </c>
      <c r="N33" s="643">
        <f>N26+N30</f>
        <v>26845200</v>
      </c>
      <c r="O33" s="643">
        <f>O26+O30</f>
        <v>0</v>
      </c>
      <c r="P33" s="643">
        <f t="shared" ref="P33:Q33" si="19">P26+P30</f>
        <v>127183300</v>
      </c>
      <c r="Q33" s="643">
        <f t="shared" si="19"/>
        <v>627052.15999999992</v>
      </c>
      <c r="R33" s="643">
        <f>R26+R30</f>
        <v>5000000</v>
      </c>
      <c r="S33" s="643">
        <f>S26+S30</f>
        <v>1518589.5699999998</v>
      </c>
      <c r="T33" s="643">
        <f t="shared" si="18"/>
        <v>593043.48</v>
      </c>
      <c r="U33" s="643">
        <f t="shared" si="18"/>
        <v>593043.48</v>
      </c>
      <c r="V33" s="673">
        <f t="shared" si="18"/>
        <v>140722470.71000001</v>
      </c>
      <c r="W33" s="643">
        <f t="shared" si="18"/>
        <v>49383927.240000002</v>
      </c>
      <c r="X33" s="673">
        <f t="shared" ref="X33:Y33" si="20">X26+X30</f>
        <v>361012337.62</v>
      </c>
      <c r="Y33" s="673">
        <f t="shared" si="20"/>
        <v>305562281.93000001</v>
      </c>
      <c r="Z33" s="673">
        <f t="shared" si="18"/>
        <v>783229791.67000008</v>
      </c>
      <c r="AA33" s="673">
        <f t="shared" si="18"/>
        <v>26217353.300000001</v>
      </c>
      <c r="AB33" s="673">
        <f t="shared" si="18"/>
        <v>614522125.28999996</v>
      </c>
      <c r="AC33" s="674">
        <f t="shared" si="18"/>
        <v>236785751.39999998</v>
      </c>
      <c r="AD33" s="637">
        <f>AD26+AD30</f>
        <v>659177018.88000011</v>
      </c>
      <c r="AE33" s="637">
        <f>AE26+AE30</f>
        <v>100753673.26000001</v>
      </c>
      <c r="AF33" s="670">
        <f t="shared" si="18"/>
        <v>153729042.09999999</v>
      </c>
      <c r="AG33" s="637">
        <f t="shared" si="18"/>
        <v>115033663.19999999</v>
      </c>
      <c r="AH33" s="675">
        <f t="shared" si="18"/>
        <v>0</v>
      </c>
      <c r="AI33" s="675">
        <f t="shared" si="18"/>
        <v>0</v>
      </c>
      <c r="AJ33" s="643">
        <f t="shared" si="18"/>
        <v>99784698.480000004</v>
      </c>
      <c r="AK33" s="643">
        <f t="shared" si="18"/>
        <v>4965519.3899999997</v>
      </c>
      <c r="AL33" s="673">
        <f>AL26+AL30</f>
        <v>116056620</v>
      </c>
      <c r="AM33" s="643">
        <f>AM26+AM30</f>
        <v>0</v>
      </c>
      <c r="AN33" s="673">
        <f t="shared" ref="AN33:AO33" si="21">AN26+AN30</f>
        <v>22221320.420000002</v>
      </c>
      <c r="AO33" s="643">
        <f t="shared" si="21"/>
        <v>0</v>
      </c>
      <c r="AP33" s="643">
        <f>AP26+AP30</f>
        <v>211824160</v>
      </c>
      <c r="AQ33" s="643">
        <f>AQ26+AQ30</f>
        <v>0</v>
      </c>
      <c r="AR33" s="643">
        <f t="shared" ref="AR33:BC33" si="22">AR26+AR30</f>
        <v>2778679.5799999996</v>
      </c>
      <c r="AS33" s="643">
        <f t="shared" si="22"/>
        <v>2113684.23</v>
      </c>
      <c r="AT33" s="643">
        <f t="shared" si="22"/>
        <v>211824160</v>
      </c>
      <c r="AU33" s="643">
        <f t="shared" si="22"/>
        <v>101468992.43999998</v>
      </c>
      <c r="AV33" s="643">
        <f t="shared" si="22"/>
        <v>19680599.999999996</v>
      </c>
      <c r="AW33" s="643">
        <f t="shared" si="22"/>
        <v>2143546.91</v>
      </c>
      <c r="AX33" s="643">
        <f t="shared" si="22"/>
        <v>14699999.999999998</v>
      </c>
      <c r="AY33" s="643">
        <f t="shared" si="22"/>
        <v>0</v>
      </c>
      <c r="AZ33" s="673">
        <f t="shared" si="22"/>
        <v>24722751.120000001</v>
      </c>
      <c r="BA33" s="673">
        <f t="shared" si="22"/>
        <v>3850967.7</v>
      </c>
      <c r="BB33" s="673">
        <f t="shared" si="22"/>
        <v>9055887.7100000009</v>
      </c>
      <c r="BC33" s="673">
        <f t="shared" si="22"/>
        <v>3457937.8400000003</v>
      </c>
      <c r="BD33" s="673">
        <f t="shared" si="18"/>
        <v>2000000</v>
      </c>
      <c r="BE33" s="643">
        <f t="shared" si="18"/>
        <v>81910.460000000006</v>
      </c>
      <c r="BF33" s="673">
        <f t="shared" si="18"/>
        <v>2000146.03</v>
      </c>
      <c r="BG33" s="643">
        <f t="shared" si="18"/>
        <v>0</v>
      </c>
      <c r="BH33" s="673">
        <f t="shared" si="18"/>
        <v>1300000</v>
      </c>
      <c r="BI33" s="643">
        <f t="shared" si="18"/>
        <v>385615.94</v>
      </c>
    </row>
    <row r="34" spans="1:61" s="651" customFormat="1" ht="15.75" x14ac:dyDescent="0.25">
      <c r="B34" s="647"/>
      <c r="C34" s="647"/>
      <c r="D34" s="647"/>
      <c r="E34" s="647"/>
      <c r="F34" s="647"/>
      <c r="G34" s="647"/>
      <c r="H34" s="647"/>
      <c r="I34" s="647"/>
      <c r="J34" s="647"/>
      <c r="K34" s="647"/>
      <c r="L34" s="647"/>
      <c r="M34" s="647"/>
      <c r="N34" s="647"/>
      <c r="O34" s="647"/>
      <c r="P34" s="647"/>
      <c r="Q34" s="647"/>
      <c r="R34" s="647"/>
      <c r="S34" s="647"/>
      <c r="T34" s="679"/>
      <c r="U34" s="679"/>
      <c r="V34" s="647"/>
      <c r="W34" s="647"/>
      <c r="X34" s="647"/>
      <c r="Y34" s="647"/>
      <c r="Z34" s="647"/>
      <c r="AA34" s="647"/>
      <c r="AB34" s="647"/>
      <c r="AC34" s="647"/>
      <c r="AD34" s="647"/>
      <c r="AE34" s="647"/>
      <c r="AF34" s="647"/>
      <c r="AG34" s="647"/>
      <c r="AH34" s="680"/>
      <c r="AI34" s="680"/>
      <c r="AJ34" s="679"/>
      <c r="AK34" s="679"/>
      <c r="AL34" s="647"/>
      <c r="AM34" s="647"/>
      <c r="AN34" s="647"/>
      <c r="AO34" s="647"/>
      <c r="AP34" s="647"/>
      <c r="AQ34" s="647"/>
      <c r="AR34" s="647"/>
      <c r="AS34" s="647"/>
      <c r="AT34" s="647"/>
      <c r="AU34" s="647"/>
      <c r="AV34" s="679"/>
      <c r="AW34" s="679"/>
      <c r="AX34" s="647"/>
      <c r="AY34" s="647"/>
      <c r="AZ34" s="647"/>
      <c r="BA34" s="647"/>
      <c r="BB34" s="647"/>
      <c r="BC34" s="647"/>
      <c r="BD34" s="647"/>
      <c r="BE34" s="647"/>
      <c r="BF34" s="647"/>
      <c r="BG34" s="647"/>
      <c r="BH34" s="647"/>
      <c r="BI34" s="647"/>
    </row>
    <row r="35" spans="1:61" s="651" customFormat="1" x14ac:dyDescent="0.25">
      <c r="B35" s="647"/>
      <c r="C35" s="647"/>
      <c r="D35" s="647"/>
      <c r="E35" s="647"/>
      <c r="F35" s="647"/>
      <c r="G35" s="647"/>
      <c r="H35" s="647"/>
      <c r="I35" s="647"/>
      <c r="J35" s="647"/>
      <c r="K35" s="647"/>
      <c r="L35" s="647"/>
      <c r="M35" s="647"/>
      <c r="N35" s="647"/>
      <c r="O35" s="647"/>
      <c r="P35" s="647"/>
      <c r="Q35" s="647"/>
      <c r="R35" s="647"/>
      <c r="S35" s="647"/>
      <c r="T35" s="679"/>
      <c r="U35" s="679"/>
      <c r="V35" s="647"/>
      <c r="W35" s="647"/>
      <c r="X35" s="647"/>
      <c r="Y35" s="647"/>
      <c r="Z35" s="647"/>
      <c r="AA35" s="647"/>
      <c r="AB35" s="647"/>
      <c r="AC35" s="647"/>
      <c r="AD35" s="654"/>
      <c r="AE35" s="654"/>
      <c r="AF35" s="647"/>
      <c r="AG35" s="647"/>
      <c r="AH35" s="680"/>
      <c r="AI35" s="680"/>
      <c r="AJ35" s="679"/>
      <c r="AK35" s="679"/>
      <c r="AL35" s="647"/>
      <c r="AM35" s="647"/>
      <c r="AN35" s="647"/>
      <c r="AO35" s="647"/>
      <c r="AP35" s="647"/>
      <c r="AQ35" s="647"/>
      <c r="AR35" s="647"/>
      <c r="AS35" s="647"/>
      <c r="AT35" s="647"/>
      <c r="AU35" s="647"/>
      <c r="AV35" s="679"/>
      <c r="AW35" s="679"/>
      <c r="AX35" s="647"/>
      <c r="AY35" s="647"/>
      <c r="AZ35" s="647"/>
      <c r="BA35" s="647"/>
      <c r="BB35" s="647"/>
      <c r="BC35" s="647"/>
      <c r="BD35" s="647"/>
      <c r="BE35" s="647"/>
      <c r="BF35" s="647"/>
      <c r="BG35" s="647"/>
      <c r="BH35" s="647"/>
      <c r="BI35" s="647"/>
    </row>
    <row r="36" spans="1:61" s="591" customFormat="1" ht="31.5" x14ac:dyDescent="0.25">
      <c r="A36" s="681" t="s">
        <v>895</v>
      </c>
      <c r="B36" s="1096">
        <f t="shared" ref="B36:BI36" si="23">B26-B37</f>
        <v>1645937232.5100005</v>
      </c>
      <c r="C36" s="1096">
        <f t="shared" si="23"/>
        <v>382645654.07000005</v>
      </c>
      <c r="D36" s="1096">
        <f t="shared" si="23"/>
        <v>0</v>
      </c>
      <c r="E36" s="1096">
        <f t="shared" si="23"/>
        <v>0</v>
      </c>
      <c r="F36" s="1096">
        <f t="shared" si="23"/>
        <v>3350156.9699999997</v>
      </c>
      <c r="G36" s="1096">
        <f t="shared" si="23"/>
        <v>2301462.7800000003</v>
      </c>
      <c r="H36" s="1096">
        <f t="shared" si="23"/>
        <v>476800</v>
      </c>
      <c r="I36" s="1096">
        <f t="shared" si="23"/>
        <v>324826.40000000002</v>
      </c>
      <c r="J36" s="1096">
        <f t="shared" si="23"/>
        <v>54677198.120000005</v>
      </c>
      <c r="K36" s="1096">
        <f t="shared" si="23"/>
        <v>0</v>
      </c>
      <c r="L36" s="1096">
        <f t="shared" si="23"/>
        <v>12000000</v>
      </c>
      <c r="M36" s="1096">
        <f t="shared" si="23"/>
        <v>0</v>
      </c>
      <c r="N36" s="1096">
        <f t="shared" si="23"/>
        <v>21282781.25</v>
      </c>
      <c r="O36" s="1096">
        <f t="shared" si="23"/>
        <v>0</v>
      </c>
      <c r="P36" s="1096">
        <f t="shared" si="23"/>
        <v>16858000</v>
      </c>
      <c r="Q36" s="1096">
        <f t="shared" si="23"/>
        <v>627052.15999999992</v>
      </c>
      <c r="R36" s="1096">
        <f t="shared" si="23"/>
        <v>2017504.7000000002</v>
      </c>
      <c r="S36" s="1096">
        <f t="shared" si="23"/>
        <v>652547.56999999995</v>
      </c>
      <c r="T36" s="1096">
        <f t="shared" si="23"/>
        <v>212173.92000000004</v>
      </c>
      <c r="U36" s="1096">
        <f t="shared" si="23"/>
        <v>212173.92000000004</v>
      </c>
      <c r="V36" s="1096">
        <f t="shared" si="23"/>
        <v>101494836.71000001</v>
      </c>
      <c r="W36" s="1096">
        <f t="shared" si="23"/>
        <v>40690538.850000001</v>
      </c>
      <c r="X36" s="1096">
        <f t="shared" ref="X36:Y36" si="24">X26-X37</f>
        <v>1012337.620000001</v>
      </c>
      <c r="Y36" s="1096">
        <f t="shared" si="24"/>
        <v>0</v>
      </c>
      <c r="Z36" s="1096">
        <f t="shared" si="23"/>
        <v>225412961.29999998</v>
      </c>
      <c r="AA36" s="1096">
        <f t="shared" si="23"/>
        <v>26217353.300000001</v>
      </c>
      <c r="AB36" s="1096">
        <f t="shared" si="23"/>
        <v>494054322.06999993</v>
      </c>
      <c r="AC36" s="1096">
        <f t="shared" si="23"/>
        <v>197517725.49999997</v>
      </c>
      <c r="AD36" s="1096">
        <f t="shared" si="23"/>
        <v>409463239.03000009</v>
      </c>
      <c r="AE36" s="1096">
        <f t="shared" si="23"/>
        <v>92239962.060000002</v>
      </c>
      <c r="AF36" s="1096">
        <f t="shared" si="23"/>
        <v>3729042.1000000015</v>
      </c>
      <c r="AG36" s="1096">
        <f t="shared" si="23"/>
        <v>0</v>
      </c>
      <c r="AH36" s="1096">
        <f t="shared" si="23"/>
        <v>0</v>
      </c>
      <c r="AI36" s="1096">
        <f t="shared" si="23"/>
        <v>0</v>
      </c>
      <c r="AJ36" s="1096">
        <f t="shared" si="23"/>
        <v>93058010.75</v>
      </c>
      <c r="AK36" s="1096">
        <f t="shared" si="23"/>
        <v>0</v>
      </c>
      <c r="AL36" s="1096">
        <f t="shared" si="23"/>
        <v>96323970</v>
      </c>
      <c r="AM36" s="1096">
        <f t="shared" si="23"/>
        <v>0</v>
      </c>
      <c r="AN36" s="1096">
        <f t="shared" si="23"/>
        <v>2221320.4200000004</v>
      </c>
      <c r="AO36" s="1096">
        <f t="shared" si="23"/>
        <v>0</v>
      </c>
      <c r="AP36" s="1096">
        <f t="shared" si="23"/>
        <v>26896400</v>
      </c>
      <c r="AQ36" s="1096">
        <f t="shared" si="23"/>
        <v>0</v>
      </c>
      <c r="AR36" s="1096">
        <f t="shared" si="23"/>
        <v>2240298.8299999996</v>
      </c>
      <c r="AS36" s="1096">
        <f t="shared" si="23"/>
        <v>2113684.23</v>
      </c>
      <c r="AT36" s="1096">
        <f t="shared" si="23"/>
        <v>26896400</v>
      </c>
      <c r="AU36" s="1096">
        <f t="shared" si="23"/>
        <v>12620873.510000002</v>
      </c>
      <c r="AV36" s="1096">
        <f t="shared" si="23"/>
        <v>16223347.999999996</v>
      </c>
      <c r="AW36" s="1096">
        <f t="shared" si="23"/>
        <v>1678227.96</v>
      </c>
      <c r="AX36" s="1096">
        <f t="shared" si="23"/>
        <v>13596581.489999998</v>
      </c>
      <c r="AY36" s="1096">
        <f t="shared" si="23"/>
        <v>0</v>
      </c>
      <c r="AZ36" s="1096">
        <f t="shared" si="23"/>
        <v>16413681.120000001</v>
      </c>
      <c r="BA36" s="1096">
        <f t="shared" si="23"/>
        <v>3270967.7</v>
      </c>
      <c r="BB36" s="1096">
        <f t="shared" si="23"/>
        <v>4217728.0999999996</v>
      </c>
      <c r="BC36" s="1096">
        <f t="shared" si="23"/>
        <v>1710731.7300000004</v>
      </c>
      <c r="BD36" s="1096">
        <f t="shared" si="23"/>
        <v>813333.73</v>
      </c>
      <c r="BE36" s="1096">
        <f t="shared" si="23"/>
        <v>81910.460000000006</v>
      </c>
      <c r="BF36" s="1096">
        <f t="shared" si="23"/>
        <v>0</v>
      </c>
      <c r="BG36" s="1096">
        <f t="shared" si="23"/>
        <v>0</v>
      </c>
      <c r="BH36" s="1096">
        <f t="shared" si="23"/>
        <v>994806.27999999991</v>
      </c>
      <c r="BI36" s="1096">
        <f t="shared" si="23"/>
        <v>385615.94</v>
      </c>
    </row>
    <row r="37" spans="1:61" s="591" customFormat="1" x14ac:dyDescent="0.25">
      <c r="A37" s="682" t="s">
        <v>763</v>
      </c>
      <c r="B37" s="1097">
        <f t="shared" ref="B37:AG37" si="25">B8+B9+B10+B11</f>
        <v>371267086.23000002</v>
      </c>
      <c r="C37" s="1097">
        <f t="shared" si="25"/>
        <v>56272229.43</v>
      </c>
      <c r="D37" s="1097">
        <f t="shared" si="25"/>
        <v>0</v>
      </c>
      <c r="E37" s="1097">
        <f t="shared" si="25"/>
        <v>0</v>
      </c>
      <c r="F37" s="1097">
        <f t="shared" si="25"/>
        <v>871270.62000000011</v>
      </c>
      <c r="G37" s="1097">
        <f t="shared" si="25"/>
        <v>308820.8</v>
      </c>
      <c r="H37" s="1097">
        <f t="shared" si="25"/>
        <v>0</v>
      </c>
      <c r="I37" s="1097">
        <f t="shared" si="25"/>
        <v>0</v>
      </c>
      <c r="J37" s="1097">
        <f t="shared" si="25"/>
        <v>0</v>
      </c>
      <c r="K37" s="1097">
        <f t="shared" si="25"/>
        <v>0</v>
      </c>
      <c r="L37" s="1097">
        <f t="shared" si="25"/>
        <v>0</v>
      </c>
      <c r="M37" s="1097">
        <f t="shared" si="25"/>
        <v>0</v>
      </c>
      <c r="N37" s="1097">
        <f t="shared" si="25"/>
        <v>5562418.75</v>
      </c>
      <c r="O37" s="1097">
        <f t="shared" si="25"/>
        <v>0</v>
      </c>
      <c r="P37" s="1097">
        <f t="shared" si="25"/>
        <v>435000</v>
      </c>
      <c r="Q37" s="1097">
        <f t="shared" si="25"/>
        <v>0</v>
      </c>
      <c r="R37" s="1097">
        <f t="shared" si="25"/>
        <v>587647.13</v>
      </c>
      <c r="S37" s="1097">
        <f t="shared" si="25"/>
        <v>74805</v>
      </c>
      <c r="T37" s="1097">
        <f t="shared" si="25"/>
        <v>55652.17</v>
      </c>
      <c r="U37" s="1097">
        <f t="shared" si="25"/>
        <v>55652.17</v>
      </c>
      <c r="V37" s="1097">
        <f t="shared" si="25"/>
        <v>0</v>
      </c>
      <c r="W37" s="1097">
        <f t="shared" si="25"/>
        <v>0</v>
      </c>
      <c r="X37" s="1097">
        <f t="shared" si="25"/>
        <v>0</v>
      </c>
      <c r="Y37" s="1097">
        <f t="shared" si="25"/>
        <v>0</v>
      </c>
      <c r="Z37" s="1097">
        <f t="shared" si="25"/>
        <v>117669358.27000001</v>
      </c>
      <c r="AA37" s="1097">
        <f t="shared" si="25"/>
        <v>0</v>
      </c>
      <c r="AB37" s="1097">
        <f t="shared" si="25"/>
        <v>120467803.22</v>
      </c>
      <c r="AC37" s="1097">
        <f t="shared" si="25"/>
        <v>39268025.900000006</v>
      </c>
      <c r="AD37" s="1097">
        <f t="shared" si="25"/>
        <v>102437682.34999999</v>
      </c>
      <c r="AE37" s="1097">
        <f t="shared" si="25"/>
        <v>8513711.1999999993</v>
      </c>
      <c r="AF37" s="1097">
        <f t="shared" si="25"/>
        <v>0</v>
      </c>
      <c r="AG37" s="1097">
        <f t="shared" si="25"/>
        <v>0</v>
      </c>
      <c r="AH37" s="1097">
        <f t="shared" ref="AH37:BI37" si="26">AH8+AH9+AH10+AH11</f>
        <v>0</v>
      </c>
      <c r="AI37" s="1097">
        <f t="shared" si="26"/>
        <v>0</v>
      </c>
      <c r="AJ37" s="1097">
        <f t="shared" si="26"/>
        <v>6726687.7300000004</v>
      </c>
      <c r="AK37" s="1097">
        <f t="shared" si="26"/>
        <v>4965519.3899999997</v>
      </c>
      <c r="AL37" s="1097">
        <f t="shared" si="26"/>
        <v>832650</v>
      </c>
      <c r="AM37" s="1097">
        <f t="shared" si="26"/>
        <v>0</v>
      </c>
      <c r="AN37" s="1097">
        <f t="shared" si="26"/>
        <v>0</v>
      </c>
      <c r="AO37" s="1097">
        <f t="shared" si="26"/>
        <v>0</v>
      </c>
      <c r="AP37" s="1097">
        <f t="shared" si="26"/>
        <v>1413600</v>
      </c>
      <c r="AQ37" s="1097">
        <f t="shared" si="26"/>
        <v>0</v>
      </c>
      <c r="AR37" s="1097">
        <f t="shared" si="26"/>
        <v>538380.75</v>
      </c>
      <c r="AS37" s="1097">
        <f t="shared" si="26"/>
        <v>0</v>
      </c>
      <c r="AT37" s="1097">
        <f t="shared" si="26"/>
        <v>1413600</v>
      </c>
      <c r="AU37" s="1097">
        <f t="shared" si="26"/>
        <v>1150142.6200000001</v>
      </c>
      <c r="AV37" s="1097">
        <f t="shared" si="26"/>
        <v>3457252</v>
      </c>
      <c r="AW37" s="1097">
        <f t="shared" si="26"/>
        <v>465318.95000000007</v>
      </c>
      <c r="AX37" s="1097">
        <f t="shared" si="26"/>
        <v>1103418.51</v>
      </c>
      <c r="AY37" s="1097">
        <f t="shared" si="26"/>
        <v>0</v>
      </c>
      <c r="AZ37" s="1097">
        <f t="shared" si="26"/>
        <v>3716550</v>
      </c>
      <c r="BA37" s="1097">
        <f t="shared" si="26"/>
        <v>580000</v>
      </c>
      <c r="BB37" s="1097">
        <f t="shared" si="26"/>
        <v>2123443.6</v>
      </c>
      <c r="BC37" s="1097">
        <f t="shared" si="26"/>
        <v>890233.4</v>
      </c>
      <c r="BD37" s="1097">
        <f t="shared" si="26"/>
        <v>180178.22999999998</v>
      </c>
      <c r="BE37" s="1097">
        <f t="shared" si="26"/>
        <v>0</v>
      </c>
      <c r="BF37" s="1097">
        <f t="shared" si="26"/>
        <v>1497946.03</v>
      </c>
      <c r="BG37" s="1097">
        <f t="shared" si="26"/>
        <v>0</v>
      </c>
      <c r="BH37" s="1097">
        <f t="shared" si="26"/>
        <v>176546.87</v>
      </c>
      <c r="BI37" s="1097">
        <f t="shared" si="26"/>
        <v>0</v>
      </c>
    </row>
    <row r="38" spans="1:61" s="591" customFormat="1" x14ac:dyDescent="0.25">
      <c r="A38" s="681" t="s">
        <v>764</v>
      </c>
      <c r="B38" s="1096">
        <f t="shared" ref="B38:BI38" si="27">B30</f>
        <v>1939459034.3500001</v>
      </c>
      <c r="C38" s="1096">
        <f t="shared" si="27"/>
        <v>522929472.51000005</v>
      </c>
      <c r="D38" s="1096">
        <f t="shared" si="27"/>
        <v>0</v>
      </c>
      <c r="E38" s="1096">
        <f t="shared" si="27"/>
        <v>0</v>
      </c>
      <c r="F38" s="1096">
        <f t="shared" si="27"/>
        <v>1178572.4100000001</v>
      </c>
      <c r="G38" s="1096">
        <f t="shared" si="27"/>
        <v>607475.31000000006</v>
      </c>
      <c r="H38" s="1096">
        <f t="shared" si="27"/>
        <v>8023200</v>
      </c>
      <c r="I38" s="1096">
        <f t="shared" si="27"/>
        <v>3361260.27</v>
      </c>
      <c r="J38" s="1096">
        <f t="shared" si="27"/>
        <v>218122801.88</v>
      </c>
      <c r="K38" s="1096">
        <f t="shared" si="27"/>
        <v>0</v>
      </c>
      <c r="L38" s="1096">
        <f t="shared" si="27"/>
        <v>48000000</v>
      </c>
      <c r="M38" s="1096">
        <f t="shared" si="27"/>
        <v>0</v>
      </c>
      <c r="N38" s="1096">
        <f t="shared" si="27"/>
        <v>0</v>
      </c>
      <c r="O38" s="1096">
        <f t="shared" si="27"/>
        <v>0</v>
      </c>
      <c r="P38" s="1096">
        <f t="shared" si="27"/>
        <v>109890300</v>
      </c>
      <c r="Q38" s="1096">
        <f t="shared" si="27"/>
        <v>0</v>
      </c>
      <c r="R38" s="1096">
        <f t="shared" si="27"/>
        <v>2394848.17</v>
      </c>
      <c r="S38" s="1096">
        <f t="shared" si="27"/>
        <v>791237</v>
      </c>
      <c r="T38" s="1096">
        <f t="shared" si="27"/>
        <v>325217.39</v>
      </c>
      <c r="U38" s="1096">
        <f t="shared" si="27"/>
        <v>325217.39</v>
      </c>
      <c r="V38" s="1096">
        <f t="shared" si="27"/>
        <v>39227634</v>
      </c>
      <c r="W38" s="1096">
        <f t="shared" si="27"/>
        <v>8693388.3900000006</v>
      </c>
      <c r="X38" s="1096">
        <f t="shared" ref="X38:Y38" si="28">X30</f>
        <v>360000000</v>
      </c>
      <c r="Y38" s="1096">
        <f t="shared" si="28"/>
        <v>305562281.93000001</v>
      </c>
      <c r="Z38" s="1096">
        <f t="shared" si="27"/>
        <v>440147472.10000002</v>
      </c>
      <c r="AA38" s="1096">
        <f t="shared" si="27"/>
        <v>0</v>
      </c>
      <c r="AB38" s="1096">
        <f t="shared" si="27"/>
        <v>0</v>
      </c>
      <c r="AC38" s="1096">
        <f t="shared" si="27"/>
        <v>0</v>
      </c>
      <c r="AD38" s="1096">
        <f t="shared" si="27"/>
        <v>147276097.5</v>
      </c>
      <c r="AE38" s="1096">
        <f t="shared" si="27"/>
        <v>0</v>
      </c>
      <c r="AF38" s="1096">
        <f t="shared" si="27"/>
        <v>150000000</v>
      </c>
      <c r="AG38" s="1096">
        <f t="shared" si="27"/>
        <v>115033663.19999999</v>
      </c>
      <c r="AH38" s="1096">
        <f t="shared" si="27"/>
        <v>0</v>
      </c>
      <c r="AI38" s="1096">
        <f t="shared" si="27"/>
        <v>0</v>
      </c>
      <c r="AJ38" s="1096">
        <f t="shared" si="27"/>
        <v>0</v>
      </c>
      <c r="AK38" s="1096">
        <f t="shared" si="27"/>
        <v>0</v>
      </c>
      <c r="AL38" s="1096">
        <f t="shared" si="27"/>
        <v>18900000</v>
      </c>
      <c r="AM38" s="1096">
        <f t="shared" si="27"/>
        <v>0</v>
      </c>
      <c r="AN38" s="1096">
        <f t="shared" si="27"/>
        <v>20000000</v>
      </c>
      <c r="AO38" s="1096">
        <f t="shared" si="27"/>
        <v>0</v>
      </c>
      <c r="AP38" s="1096">
        <f t="shared" si="27"/>
        <v>183514160</v>
      </c>
      <c r="AQ38" s="1096">
        <f t="shared" si="27"/>
        <v>0</v>
      </c>
      <c r="AR38" s="1096">
        <f t="shared" si="27"/>
        <v>0</v>
      </c>
      <c r="AS38" s="1096">
        <f t="shared" si="27"/>
        <v>0</v>
      </c>
      <c r="AT38" s="1096">
        <f t="shared" si="27"/>
        <v>183514160</v>
      </c>
      <c r="AU38" s="1096">
        <f t="shared" si="27"/>
        <v>87697976.309999987</v>
      </c>
      <c r="AV38" s="1096">
        <f t="shared" si="27"/>
        <v>0</v>
      </c>
      <c r="AW38" s="1096">
        <f t="shared" si="27"/>
        <v>0</v>
      </c>
      <c r="AX38" s="1096">
        <f t="shared" si="27"/>
        <v>0</v>
      </c>
      <c r="AY38" s="1096">
        <f t="shared" si="27"/>
        <v>0</v>
      </c>
      <c r="AZ38" s="1096">
        <f t="shared" si="27"/>
        <v>4592520</v>
      </c>
      <c r="BA38" s="1096">
        <f t="shared" si="27"/>
        <v>0</v>
      </c>
      <c r="BB38" s="1096">
        <f t="shared" si="27"/>
        <v>2714716.01</v>
      </c>
      <c r="BC38" s="1096">
        <f t="shared" si="27"/>
        <v>856972.71</v>
      </c>
      <c r="BD38" s="1096">
        <f t="shared" si="27"/>
        <v>1006488.04</v>
      </c>
      <c r="BE38" s="1096">
        <f t="shared" si="27"/>
        <v>0</v>
      </c>
      <c r="BF38" s="1096">
        <f t="shared" si="27"/>
        <v>502200</v>
      </c>
      <c r="BG38" s="1096">
        <f t="shared" si="27"/>
        <v>0</v>
      </c>
      <c r="BH38" s="1096">
        <f t="shared" si="27"/>
        <v>128646.85</v>
      </c>
      <c r="BI38" s="1096">
        <f t="shared" si="27"/>
        <v>0</v>
      </c>
    </row>
    <row r="39" spans="1:61" s="651" customFormat="1" ht="15.75" x14ac:dyDescent="0.25">
      <c r="B39" s="647"/>
      <c r="C39" s="647"/>
      <c r="D39" s="647"/>
      <c r="E39" s="647"/>
      <c r="F39" s="647"/>
      <c r="G39" s="647"/>
      <c r="H39" s="647"/>
      <c r="I39" s="647"/>
      <c r="J39" s="647"/>
      <c r="K39" s="647"/>
      <c r="L39" s="647"/>
      <c r="M39" s="647"/>
      <c r="N39" s="647"/>
      <c r="O39" s="647"/>
      <c r="P39" s="647"/>
      <c r="Q39" s="647"/>
      <c r="R39" s="647"/>
      <c r="S39" s="647"/>
      <c r="T39" s="679"/>
      <c r="U39" s="679"/>
      <c r="V39" s="647"/>
      <c r="W39" s="647"/>
      <c r="X39" s="647"/>
      <c r="Y39" s="647"/>
      <c r="Z39" s="647"/>
      <c r="AA39" s="647"/>
      <c r="AB39" s="647"/>
      <c r="AC39" s="647"/>
      <c r="AF39" s="647"/>
      <c r="AG39" s="647"/>
      <c r="AH39" s="680"/>
      <c r="AI39" s="680"/>
      <c r="AJ39" s="679"/>
      <c r="AK39" s="679"/>
      <c r="AL39" s="647"/>
      <c r="AM39" s="647"/>
      <c r="AN39" s="647"/>
      <c r="AO39" s="647"/>
      <c r="AP39" s="647"/>
      <c r="AQ39" s="647"/>
      <c r="AR39" s="647"/>
      <c r="AS39" s="647"/>
      <c r="AT39" s="647"/>
      <c r="AU39" s="647"/>
      <c r="AV39" s="679"/>
      <c r="AW39" s="679"/>
      <c r="AX39" s="647"/>
      <c r="AY39" s="647"/>
      <c r="AZ39" s="647"/>
      <c r="BA39" s="647"/>
      <c r="BB39" s="647"/>
      <c r="BC39" s="647"/>
      <c r="BD39" s="647"/>
      <c r="BE39" s="647"/>
      <c r="BF39" s="647"/>
      <c r="BG39" s="647"/>
      <c r="BH39" s="647"/>
      <c r="BI39" s="647"/>
    </row>
    <row r="40" spans="1:61" s="651" customFormat="1" ht="15.75" x14ac:dyDescent="0.25">
      <c r="B40" s="647"/>
      <c r="C40" s="647"/>
      <c r="D40" s="647"/>
      <c r="E40" s="647"/>
      <c r="F40" s="647"/>
      <c r="G40" s="647"/>
      <c r="H40" s="647"/>
      <c r="I40" s="647"/>
      <c r="J40" s="647"/>
      <c r="K40" s="647"/>
      <c r="L40" s="647"/>
      <c r="M40" s="647"/>
      <c r="N40" s="647"/>
      <c r="O40" s="647"/>
      <c r="P40" s="647"/>
      <c r="Q40" s="647"/>
      <c r="R40" s="647"/>
      <c r="S40" s="647"/>
      <c r="T40" s="679"/>
      <c r="U40" s="679"/>
      <c r="V40" s="647"/>
      <c r="W40" s="647"/>
      <c r="X40" s="647"/>
      <c r="Y40" s="647"/>
      <c r="Z40" s="647"/>
      <c r="AA40" s="647"/>
      <c r="AB40" s="647"/>
      <c r="AC40" s="647"/>
      <c r="AF40" s="647"/>
      <c r="AG40" s="647"/>
      <c r="AH40" s="680"/>
      <c r="AI40" s="680"/>
      <c r="AJ40" s="679"/>
      <c r="AK40" s="679"/>
      <c r="AL40" s="647"/>
      <c r="AM40" s="647"/>
      <c r="AN40" s="647"/>
      <c r="AO40" s="647"/>
      <c r="AP40" s="647"/>
      <c r="AQ40" s="647"/>
      <c r="AR40" s="647"/>
      <c r="AS40" s="647"/>
      <c r="AT40" s="647"/>
      <c r="AU40" s="647"/>
      <c r="AV40" s="679"/>
      <c r="AW40" s="679"/>
      <c r="AX40" s="647"/>
      <c r="AY40" s="647"/>
      <c r="AZ40" s="647"/>
      <c r="BA40" s="647"/>
      <c r="BB40" s="647"/>
      <c r="BC40" s="647"/>
      <c r="BD40" s="647"/>
      <c r="BE40" s="647"/>
      <c r="BF40" s="647"/>
      <c r="BG40" s="647"/>
      <c r="BH40" s="647"/>
      <c r="BI40" s="647"/>
    </row>
    <row r="41" spans="1:61" s="651" customFormat="1" ht="31.5" x14ac:dyDescent="0.25">
      <c r="A41" s="681" t="s">
        <v>913</v>
      </c>
      <c r="B41" s="1023">
        <f t="shared" ref="B41" si="29">F41+N41+R41+T41+AJ41+AV41+AP41+BB41+BD41+AL41+AX41+AT41+AN41+BH41+AR41+D41+P41+J41+AB41+AH41+AF41+V41+BF41+AZ41+H41+AD41+L41+Z41+X41</f>
        <v>187305903.59000003</v>
      </c>
      <c r="C41" s="1023">
        <f t="shared" ref="C41" si="30">G41+O41+S41+U41+AK41+AW41+AQ41+BC41+BE41+AM41+AY41+AU41+AO41+BI41+AS41+E41+Q41+K41+AC41+AI41+AG41+W41+BG41+BA41+I41+AE41+M41+AA41+Y41</f>
        <v>33714991.950000003</v>
      </c>
      <c r="D41" s="641"/>
      <c r="E41" s="641"/>
      <c r="F41" s="641"/>
      <c r="G41" s="673"/>
      <c r="H41" s="641"/>
      <c r="I41" s="641"/>
      <c r="J41" s="641"/>
      <c r="K41" s="641"/>
      <c r="L41" s="641"/>
      <c r="M41" s="641"/>
      <c r="N41" s="641"/>
      <c r="O41" s="641"/>
      <c r="P41" s="641"/>
      <c r="Q41" s="641"/>
      <c r="R41" s="641"/>
      <c r="S41" s="641"/>
      <c r="T41" s="641">
        <f>'Прочая  субсидия_БП'!H26</f>
        <v>6956.5199999999977</v>
      </c>
      <c r="U41" s="641">
        <f>'Прочая  субсидия_БП'!I26</f>
        <v>6956.5199999999977</v>
      </c>
      <c r="V41" s="641"/>
      <c r="W41" s="641"/>
      <c r="X41" s="641"/>
      <c r="Y41" s="641"/>
      <c r="Z41" s="641"/>
      <c r="AA41" s="641"/>
      <c r="AB41" s="641"/>
      <c r="AC41" s="641"/>
      <c r="AD41" s="641">
        <f>'Прочая  субсидия_БП'!N26</f>
        <v>51625558.140000008</v>
      </c>
      <c r="AE41" s="641">
        <f>'Прочая  субсидия_БП'!O26</f>
        <v>24131769.879999999</v>
      </c>
      <c r="AF41" s="641"/>
      <c r="AG41" s="641"/>
      <c r="AH41" s="683">
        <f>'Прочая  субсидия_БП'!T26</f>
        <v>0</v>
      </c>
      <c r="AI41" s="683">
        <f>'Прочая  субсидия_БП'!U26</f>
        <v>0</v>
      </c>
      <c r="AJ41" s="641">
        <f>'Прочая  субсидия_БП'!Z26</f>
        <v>0</v>
      </c>
      <c r="AK41" s="641">
        <f>'Прочая  субсидия_БП'!AA26</f>
        <v>0</v>
      </c>
      <c r="AL41" s="641">
        <f>'Прочая  субсидия_БП'!AF26</f>
        <v>104595582.04000001</v>
      </c>
      <c r="AM41" s="641">
        <f>'Прочая  субсидия_БП'!AG26</f>
        <v>4803504.5999999996</v>
      </c>
      <c r="AN41" s="641"/>
      <c r="AO41" s="641"/>
      <c r="AP41" s="641">
        <f>'Прочая  субсидия_БП'!AL26</f>
        <v>19680600</v>
      </c>
      <c r="AQ41" s="641">
        <f>'Прочая  субсидия_БП'!AM26</f>
        <v>0</v>
      </c>
      <c r="AR41" s="641">
        <f>'Прочая  субсидия_БП'!AR26</f>
        <v>2221320.4200000004</v>
      </c>
      <c r="AS41" s="641">
        <f>'Прочая  субсидия_БП'!AS26</f>
        <v>2016703.18</v>
      </c>
      <c r="AT41" s="641"/>
      <c r="AU41" s="641"/>
      <c r="AV41" s="641"/>
      <c r="AW41" s="641"/>
      <c r="AX41" s="641"/>
      <c r="AY41" s="641"/>
      <c r="AZ41" s="641"/>
      <c r="BA41" s="641"/>
      <c r="BB41" s="641">
        <f>'Прочая  субсидия_БП'!AX26</f>
        <v>6308112.290000001</v>
      </c>
      <c r="BC41" s="641">
        <f>'Прочая  субсидия_БП'!AY26</f>
        <v>2756057.77</v>
      </c>
      <c r="BD41" s="641"/>
      <c r="BE41" s="641"/>
      <c r="BF41" s="641">
        <f>'Прочая  субсидия_БП'!BE26</f>
        <v>2867774.1799999997</v>
      </c>
      <c r="BG41" s="641"/>
      <c r="BH41" s="641">
        <f>'Прочая  субсидия_БП'!BK26</f>
        <v>0</v>
      </c>
      <c r="BI41" s="641">
        <f>'Прочая  субсидия_БП'!BL26</f>
        <v>0</v>
      </c>
    </row>
    <row r="42" spans="1:61" s="651" customFormat="1" ht="15.75" x14ac:dyDescent="0.25">
      <c r="A42" s="681"/>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F42" s="673"/>
      <c r="AG42" s="673"/>
      <c r="AH42" s="684"/>
      <c r="AI42" s="684"/>
      <c r="AJ42" s="673"/>
      <c r="AK42" s="673"/>
      <c r="AL42" s="673"/>
      <c r="AM42" s="673"/>
      <c r="AN42" s="673"/>
      <c r="AO42" s="673"/>
      <c r="AP42" s="673"/>
      <c r="AQ42" s="673"/>
      <c r="AR42" s="673"/>
      <c r="AS42" s="673"/>
      <c r="AT42" s="673"/>
      <c r="AU42" s="673"/>
      <c r="AV42" s="673"/>
      <c r="AW42" s="673"/>
      <c r="AX42" s="673"/>
      <c r="AY42" s="673"/>
      <c r="AZ42" s="673"/>
      <c r="BA42" s="673"/>
      <c r="BB42" s="673"/>
      <c r="BC42" s="673"/>
      <c r="BD42" s="673"/>
      <c r="BE42" s="673"/>
      <c r="BF42" s="673"/>
      <c r="BG42" s="673"/>
      <c r="BH42" s="673"/>
      <c r="BI42" s="673"/>
    </row>
    <row r="43" spans="1:61" s="651" customFormat="1" ht="47.25" x14ac:dyDescent="0.25">
      <c r="A43" s="681" t="s">
        <v>914</v>
      </c>
      <c r="B43" s="673">
        <f t="shared" ref="B43:BI43" si="31">B33+B41</f>
        <v>4143969256.6800008</v>
      </c>
      <c r="C43" s="673">
        <f t="shared" si="31"/>
        <v>995562347.96000016</v>
      </c>
      <c r="D43" s="673">
        <f t="shared" si="31"/>
        <v>0</v>
      </c>
      <c r="E43" s="673">
        <f t="shared" si="31"/>
        <v>0</v>
      </c>
      <c r="F43" s="673">
        <f t="shared" si="31"/>
        <v>5400000</v>
      </c>
      <c r="G43" s="673">
        <f t="shared" si="31"/>
        <v>3217758.89</v>
      </c>
      <c r="H43" s="673">
        <f t="shared" si="31"/>
        <v>8500000</v>
      </c>
      <c r="I43" s="673">
        <f t="shared" si="31"/>
        <v>3686086.67</v>
      </c>
      <c r="J43" s="673">
        <f t="shared" si="31"/>
        <v>272800000</v>
      </c>
      <c r="K43" s="673">
        <f t="shared" si="31"/>
        <v>0</v>
      </c>
      <c r="L43" s="673">
        <f t="shared" si="31"/>
        <v>60000000</v>
      </c>
      <c r="M43" s="673">
        <f t="shared" si="31"/>
        <v>0</v>
      </c>
      <c r="N43" s="673">
        <f t="shared" si="31"/>
        <v>26845200</v>
      </c>
      <c r="O43" s="673">
        <f t="shared" si="31"/>
        <v>0</v>
      </c>
      <c r="P43" s="673">
        <f t="shared" si="31"/>
        <v>127183300</v>
      </c>
      <c r="Q43" s="673">
        <f t="shared" si="31"/>
        <v>627052.15999999992</v>
      </c>
      <c r="R43" s="673">
        <f t="shared" si="31"/>
        <v>5000000</v>
      </c>
      <c r="S43" s="673">
        <f t="shared" si="31"/>
        <v>1518589.5699999998</v>
      </c>
      <c r="T43" s="673">
        <f t="shared" si="31"/>
        <v>600000</v>
      </c>
      <c r="U43" s="673">
        <f t="shared" si="31"/>
        <v>600000</v>
      </c>
      <c r="V43" s="673">
        <f t="shared" si="31"/>
        <v>140722470.71000001</v>
      </c>
      <c r="W43" s="673">
        <f t="shared" si="31"/>
        <v>49383927.240000002</v>
      </c>
      <c r="X43" s="673">
        <f t="shared" ref="X43:Y43" si="32">X33+X41</f>
        <v>361012337.62</v>
      </c>
      <c r="Y43" s="673">
        <f t="shared" si="32"/>
        <v>305562281.93000001</v>
      </c>
      <c r="Z43" s="673">
        <f t="shared" si="31"/>
        <v>783229791.67000008</v>
      </c>
      <c r="AA43" s="673">
        <f t="shared" si="31"/>
        <v>26217353.300000001</v>
      </c>
      <c r="AB43" s="673">
        <f t="shared" si="31"/>
        <v>614522125.28999996</v>
      </c>
      <c r="AC43" s="673">
        <f t="shared" si="31"/>
        <v>236785751.39999998</v>
      </c>
      <c r="AD43" s="673">
        <f t="shared" si="31"/>
        <v>710802577.0200001</v>
      </c>
      <c r="AE43" s="673">
        <f t="shared" si="31"/>
        <v>124885443.14</v>
      </c>
      <c r="AF43" s="673">
        <f t="shared" si="31"/>
        <v>153729042.09999999</v>
      </c>
      <c r="AG43" s="673">
        <f t="shared" si="31"/>
        <v>115033663.19999999</v>
      </c>
      <c r="AH43" s="684">
        <f t="shared" si="31"/>
        <v>0</v>
      </c>
      <c r="AI43" s="684">
        <f t="shared" si="31"/>
        <v>0</v>
      </c>
      <c r="AJ43" s="673">
        <f t="shared" si="31"/>
        <v>99784698.480000004</v>
      </c>
      <c r="AK43" s="673">
        <f t="shared" si="31"/>
        <v>4965519.3899999997</v>
      </c>
      <c r="AL43" s="673">
        <f t="shared" si="31"/>
        <v>220652202.04000002</v>
      </c>
      <c r="AM43" s="673">
        <f t="shared" si="31"/>
        <v>4803504.5999999996</v>
      </c>
      <c r="AN43" s="673">
        <f t="shared" si="31"/>
        <v>22221320.420000002</v>
      </c>
      <c r="AO43" s="673">
        <f t="shared" si="31"/>
        <v>0</v>
      </c>
      <c r="AP43" s="673">
        <f t="shared" si="31"/>
        <v>231504760</v>
      </c>
      <c r="AQ43" s="673">
        <f t="shared" si="31"/>
        <v>0</v>
      </c>
      <c r="AR43" s="673">
        <f t="shared" si="31"/>
        <v>5000000</v>
      </c>
      <c r="AS43" s="673">
        <f t="shared" si="31"/>
        <v>4130387.41</v>
      </c>
      <c r="AT43" s="673">
        <f t="shared" si="31"/>
        <v>211824160</v>
      </c>
      <c r="AU43" s="673">
        <f t="shared" si="31"/>
        <v>101468992.43999998</v>
      </c>
      <c r="AV43" s="673">
        <f t="shared" si="31"/>
        <v>19680599.999999996</v>
      </c>
      <c r="AW43" s="673">
        <f t="shared" si="31"/>
        <v>2143546.91</v>
      </c>
      <c r="AX43" s="673">
        <f t="shared" si="31"/>
        <v>14699999.999999998</v>
      </c>
      <c r="AY43" s="673">
        <f t="shared" si="31"/>
        <v>0</v>
      </c>
      <c r="AZ43" s="673">
        <f t="shared" si="31"/>
        <v>24722751.120000001</v>
      </c>
      <c r="BA43" s="673">
        <f t="shared" si="31"/>
        <v>3850967.7</v>
      </c>
      <c r="BB43" s="673">
        <f t="shared" si="31"/>
        <v>15364000.000000002</v>
      </c>
      <c r="BC43" s="673">
        <f t="shared" si="31"/>
        <v>6213995.6100000003</v>
      </c>
      <c r="BD43" s="673">
        <f t="shared" si="31"/>
        <v>2000000</v>
      </c>
      <c r="BE43" s="673">
        <f t="shared" si="31"/>
        <v>81910.460000000006</v>
      </c>
      <c r="BF43" s="673">
        <f t="shared" si="31"/>
        <v>4867920.21</v>
      </c>
      <c r="BG43" s="673">
        <f t="shared" si="31"/>
        <v>0</v>
      </c>
      <c r="BH43" s="673">
        <f t="shared" si="31"/>
        <v>1300000</v>
      </c>
      <c r="BI43" s="673">
        <f t="shared" si="31"/>
        <v>385615.94</v>
      </c>
    </row>
    <row r="44" spans="1:61" s="651" customFormat="1" ht="15.75" x14ac:dyDescent="0.25">
      <c r="A44" s="685"/>
      <c r="B44" s="647"/>
      <c r="C44" s="647"/>
      <c r="D44" s="647"/>
      <c r="E44" s="686">
        <v>0</v>
      </c>
      <c r="F44" s="647"/>
      <c r="G44" s="11">
        <v>3217758.89</v>
      </c>
      <c r="H44" s="647"/>
      <c r="I44" s="11">
        <v>3686086.67</v>
      </c>
      <c r="J44" s="650"/>
      <c r="K44" s="687">
        <v>0</v>
      </c>
      <c r="L44" s="650"/>
      <c r="M44" s="687">
        <v>0</v>
      </c>
      <c r="N44" s="650"/>
      <c r="O44" s="687">
        <v>0</v>
      </c>
      <c r="P44" s="650"/>
      <c r="Q44" s="11">
        <v>627052.16</v>
      </c>
      <c r="R44" s="650"/>
      <c r="S44" s="11">
        <v>1518589.57</v>
      </c>
      <c r="T44" s="647"/>
      <c r="U44" s="11">
        <v>600000</v>
      </c>
      <c r="V44" s="647"/>
      <c r="W44" s="11">
        <v>49383927.240000002</v>
      </c>
      <c r="X44" s="647"/>
      <c r="Y44" s="11">
        <v>305562281.93000001</v>
      </c>
      <c r="Z44" s="647"/>
      <c r="AA44" s="11">
        <v>26217353.300000001</v>
      </c>
      <c r="AB44" s="647"/>
      <c r="AC44" s="11">
        <v>236785751.40000001</v>
      </c>
      <c r="AD44" s="647"/>
      <c r="AE44" s="11">
        <v>124885443.14</v>
      </c>
      <c r="AF44" s="647"/>
      <c r="AG44" s="11">
        <v>115033663.2</v>
      </c>
      <c r="AH44" s="647"/>
      <c r="AI44" s="688"/>
      <c r="AJ44" s="647"/>
      <c r="AK44" s="11"/>
      <c r="AL44" s="647"/>
      <c r="AM44" s="11">
        <v>4803504.5999999996</v>
      </c>
      <c r="AN44" s="647"/>
      <c r="AO44" s="11">
        <v>0</v>
      </c>
      <c r="AP44" s="647"/>
      <c r="AQ44" s="11">
        <v>0</v>
      </c>
      <c r="AR44" s="647"/>
      <c r="AS44" s="11">
        <v>4130387.41</v>
      </c>
      <c r="AT44" s="650"/>
      <c r="AU44" s="11">
        <v>101468992.44</v>
      </c>
      <c r="AV44" s="647"/>
      <c r="AW44" s="11">
        <v>2143546.91</v>
      </c>
      <c r="AX44" s="650"/>
      <c r="AY44" s="11">
        <v>0</v>
      </c>
      <c r="AZ44" s="647"/>
      <c r="BA44" s="11">
        <v>3850967.7</v>
      </c>
      <c r="BB44" s="647"/>
      <c r="BC44" s="11">
        <v>6213995.6100000003</v>
      </c>
      <c r="BD44" s="647"/>
      <c r="BE44" s="11">
        <v>81910.460000000006</v>
      </c>
      <c r="BF44" s="647"/>
      <c r="BG44" s="11">
        <v>0</v>
      </c>
      <c r="BH44" s="647"/>
      <c r="BI44" s="11">
        <v>385615.94</v>
      </c>
    </row>
    <row r="45" spans="1:61" s="690" customFormat="1" ht="15.75" x14ac:dyDescent="0.25">
      <c r="E45" s="691">
        <f>E44-E43</f>
        <v>0</v>
      </c>
      <c r="G45" s="691">
        <f>G44-G43</f>
        <v>0</v>
      </c>
      <c r="I45" s="691">
        <f>I44-I43</f>
        <v>0</v>
      </c>
      <c r="J45" s="691"/>
      <c r="K45" s="691">
        <f>K44-K43</f>
        <v>0</v>
      </c>
      <c r="L45" s="691"/>
      <c r="M45" s="691">
        <f>M44-M43</f>
        <v>0</v>
      </c>
      <c r="N45" s="691"/>
      <c r="O45" s="691">
        <f>O44-O43</f>
        <v>0</v>
      </c>
      <c r="P45" s="691"/>
      <c r="Q45" s="691">
        <f>Q44-Q43</f>
        <v>0</v>
      </c>
      <c r="R45" s="691"/>
      <c r="S45" s="691">
        <f>S44-S43</f>
        <v>0</v>
      </c>
      <c r="U45" s="691">
        <f>U44-U43</f>
        <v>0</v>
      </c>
      <c r="W45" s="691">
        <f>W44-W43</f>
        <v>0</v>
      </c>
      <c r="Y45" s="691">
        <f>Y44-Y43</f>
        <v>0</v>
      </c>
      <c r="AA45" s="691">
        <f>AA44-AA43</f>
        <v>0</v>
      </c>
      <c r="AC45" s="691">
        <f>AC44-AC43</f>
        <v>0</v>
      </c>
      <c r="AE45" s="691">
        <f>AE44-AE43</f>
        <v>0</v>
      </c>
      <c r="AG45" s="691">
        <f>AG44-AG43</f>
        <v>0</v>
      </c>
      <c r="AH45" s="691"/>
      <c r="AI45" s="691"/>
      <c r="AK45" s="691"/>
      <c r="AM45" s="691">
        <f>AM44-AM43</f>
        <v>0</v>
      </c>
      <c r="AO45" s="691">
        <f>AO44-AO43</f>
        <v>0</v>
      </c>
      <c r="AQ45" s="691">
        <f>AQ44-AQ43</f>
        <v>0</v>
      </c>
      <c r="AS45" s="691">
        <f>AS44-AS43</f>
        <v>0</v>
      </c>
      <c r="AT45" s="691"/>
      <c r="AU45" s="691">
        <f>AU44-AU43</f>
        <v>0</v>
      </c>
      <c r="AW45" s="691">
        <f>AW44-AW43</f>
        <v>0</v>
      </c>
      <c r="AX45" s="691"/>
      <c r="AY45" s="691">
        <f>AY44-AY43</f>
        <v>0</v>
      </c>
      <c r="BA45" s="691">
        <f>BA44-BA43</f>
        <v>0</v>
      </c>
      <c r="BC45" s="691">
        <f>BC44-BC43</f>
        <v>0</v>
      </c>
      <c r="BE45" s="691">
        <f>BE44-BE43</f>
        <v>0</v>
      </c>
      <c r="BG45" s="691">
        <f>BG44-BG43</f>
        <v>0</v>
      </c>
      <c r="BI45" s="691">
        <f>BI44-BI43</f>
        <v>0</v>
      </c>
    </row>
    <row r="46" spans="1:61" ht="15.75" x14ac:dyDescent="0.25">
      <c r="E46" s="650"/>
      <c r="G46" s="689"/>
      <c r="I46" s="650"/>
      <c r="J46" s="650"/>
      <c r="K46" s="650"/>
      <c r="L46" s="650"/>
      <c r="M46" s="650"/>
      <c r="N46" s="650"/>
      <c r="O46" s="650"/>
      <c r="P46" s="650"/>
      <c r="Q46" s="650"/>
      <c r="R46" s="650"/>
      <c r="S46" s="650"/>
      <c r="U46" s="650"/>
      <c r="V46" s="690"/>
      <c r="W46" s="691"/>
      <c r="X46" s="690"/>
      <c r="Y46" s="691"/>
      <c r="Z46" s="690"/>
      <c r="AA46" s="691"/>
      <c r="AC46" s="650"/>
      <c r="AD46" s="626"/>
      <c r="AE46" s="650"/>
      <c r="AF46" s="626"/>
      <c r="AG46" s="650"/>
      <c r="AH46" s="650"/>
      <c r="AI46" s="650"/>
      <c r="AM46" s="650"/>
      <c r="AO46" s="650"/>
      <c r="AQ46" s="650"/>
      <c r="AS46" s="650"/>
      <c r="AT46" s="650"/>
      <c r="AU46" s="650"/>
      <c r="AW46" s="650"/>
      <c r="AX46" s="650"/>
      <c r="AY46" s="650"/>
      <c r="BA46" s="650"/>
      <c r="BC46" s="650"/>
      <c r="BE46" s="650"/>
      <c r="BG46" s="650"/>
      <c r="BI46" s="650"/>
    </row>
    <row r="47" spans="1:61" x14ac:dyDescent="0.2">
      <c r="AD47" s="652"/>
      <c r="AE47" s="692"/>
      <c r="AF47" s="654"/>
      <c r="AG47" s="654"/>
    </row>
    <row r="48" spans="1:61" x14ac:dyDescent="0.2">
      <c r="AD48" s="652"/>
      <c r="AE48" s="693"/>
      <c r="AF48" s="653"/>
      <c r="AG48" s="653"/>
    </row>
    <row r="49" spans="30:33" x14ac:dyDescent="0.2">
      <c r="AD49" s="652"/>
      <c r="AE49" s="652"/>
      <c r="AF49" s="653"/>
      <c r="AG49" s="653"/>
    </row>
    <row r="50" spans="30:33" x14ac:dyDescent="0.2">
      <c r="AD50" s="653"/>
      <c r="AE50" s="653"/>
      <c r="AF50" s="653"/>
      <c r="AG50" s="653"/>
    </row>
    <row r="51" spans="30:33" x14ac:dyDescent="0.2">
      <c r="AD51" s="654"/>
      <c r="AE51" s="654"/>
    </row>
    <row r="52" spans="30:33" x14ac:dyDescent="0.2">
      <c r="AD52" s="654"/>
      <c r="AE52" s="654"/>
    </row>
    <row r="53" spans="30:33" x14ac:dyDescent="0.2">
      <c r="AD53" s="654"/>
      <c r="AE53" s="654"/>
    </row>
    <row r="54" spans="30:33" x14ac:dyDescent="0.2">
      <c r="AD54" s="654"/>
      <c r="AE54" s="654"/>
    </row>
    <row r="55" spans="30:33" x14ac:dyDescent="0.2">
      <c r="AD55" s="653"/>
      <c r="AE55" s="653"/>
    </row>
    <row r="56" spans="30:33" x14ac:dyDescent="0.2">
      <c r="AD56" s="653"/>
      <c r="AE56" s="653"/>
    </row>
    <row r="57" spans="30:33" x14ac:dyDescent="0.2">
      <c r="AD57" s="653"/>
      <c r="AE57" s="653"/>
    </row>
  </sheetData>
  <mergeCells count="60">
    <mergeCell ref="J5:K5"/>
    <mergeCell ref="D6:E6"/>
    <mergeCell ref="F6:G6"/>
    <mergeCell ref="H6:I6"/>
    <mergeCell ref="J6:K6"/>
    <mergeCell ref="A5:A7"/>
    <mergeCell ref="B5:C6"/>
    <mergeCell ref="D5:E5"/>
    <mergeCell ref="F5:G5"/>
    <mergeCell ref="H5:I5"/>
    <mergeCell ref="AJ5:AK5"/>
    <mergeCell ref="L5:M5"/>
    <mergeCell ref="N5:O5"/>
    <mergeCell ref="P5:Q5"/>
    <mergeCell ref="R5:S5"/>
    <mergeCell ref="T5:U5"/>
    <mergeCell ref="V5:W5"/>
    <mergeCell ref="Z5:AA5"/>
    <mergeCell ref="AB5:AC5"/>
    <mergeCell ref="AD5:AE5"/>
    <mergeCell ref="AF5:AG5"/>
    <mergeCell ref="AH5:AI5"/>
    <mergeCell ref="X5:Y5"/>
    <mergeCell ref="BH5:BI5"/>
    <mergeCell ref="AL5:AM5"/>
    <mergeCell ref="AN5:AO5"/>
    <mergeCell ref="AP5:AQ5"/>
    <mergeCell ref="AR5:AS5"/>
    <mergeCell ref="AT5:AU5"/>
    <mergeCell ref="AV5:AW5"/>
    <mergeCell ref="AX5:AY5"/>
    <mergeCell ref="AZ5:BA5"/>
    <mergeCell ref="BB5:BC5"/>
    <mergeCell ref="BD5:BE5"/>
    <mergeCell ref="BF5:BG5"/>
    <mergeCell ref="AJ6:AK6"/>
    <mergeCell ref="L6:M6"/>
    <mergeCell ref="N6:O6"/>
    <mergeCell ref="P6:Q6"/>
    <mergeCell ref="R6:S6"/>
    <mergeCell ref="T6:U6"/>
    <mergeCell ref="V6:W6"/>
    <mergeCell ref="Z6:AA6"/>
    <mergeCell ref="AB6:AC6"/>
    <mergeCell ref="AD6:AE6"/>
    <mergeCell ref="AF6:AG6"/>
    <mergeCell ref="AH6:AI6"/>
    <mergeCell ref="X6:Y6"/>
    <mergeCell ref="BH6:BI6"/>
    <mergeCell ref="AL6:AM6"/>
    <mergeCell ref="AN6:AO6"/>
    <mergeCell ref="AP6:AQ6"/>
    <mergeCell ref="AR6:AS6"/>
    <mergeCell ref="AT6:AU6"/>
    <mergeCell ref="AV6:AW6"/>
    <mergeCell ref="AX6:AY6"/>
    <mergeCell ref="AZ6:BA6"/>
    <mergeCell ref="BB6:BC6"/>
    <mergeCell ref="BD6:BE6"/>
    <mergeCell ref="BF6:BG6"/>
  </mergeCells>
  <pageMargins left="0.78740157480314965" right="0.39370078740157483" top="0.59055118110236227" bottom="0.59055118110236227" header="0.51181102362204722" footer="0.51181102362204722"/>
  <pageSetup paperSize="9" scale="40" fitToWidth="10" orientation="landscape" r:id="rId1"/>
  <headerFooter alignWithMargins="0">
    <oddFooter>&amp;L&amp;P&amp;R&amp;Z&amp;F&amp;A</oddFooter>
  </headerFooter>
  <colBreaks count="4" manualBreakCount="4">
    <brk id="13" max="42" man="1"/>
    <brk id="25" max="42" man="1"/>
    <brk id="37" max="42" man="1"/>
    <brk id="49"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P57"/>
  <sheetViews>
    <sheetView topLeftCell="A2" zoomScale="50" zoomScaleNormal="50" zoomScaleSheetLayoutView="40" workbookViewId="0">
      <pane xSplit="1" ySplit="6" topLeftCell="AN23" activePane="bottomRight" state="frozen"/>
      <selection activeCell="A2" sqref="A2"/>
      <selection pane="topRight" activeCell="B2" sqref="B2"/>
      <selection pane="bottomLeft" activeCell="A8" sqref="A8"/>
      <selection pane="bottomRight" activeCell="AS25" sqref="AS25"/>
    </sheetView>
  </sheetViews>
  <sheetFormatPr defaultColWidth="8.7109375" defaultRowHeight="16.5" x14ac:dyDescent="0.2"/>
  <cols>
    <col min="1" max="1" width="28.140625" style="1" customWidth="1"/>
    <col min="2" max="2" width="21.5703125" style="1" customWidth="1"/>
    <col min="3" max="3" width="23.140625" style="1" customWidth="1"/>
    <col min="4" max="4" width="22.85546875" style="1" customWidth="1"/>
    <col min="5" max="5" width="22" style="1" customWidth="1"/>
    <col min="6" max="6" width="23.140625" style="1" customWidth="1"/>
    <col min="7" max="7" width="19.85546875" style="1" customWidth="1"/>
    <col min="8" max="9" width="20.140625" style="1" customWidth="1"/>
    <col min="10" max="13" width="17.85546875" style="1" customWidth="1"/>
    <col min="14" max="14" width="22.85546875" style="594" customWidth="1"/>
    <col min="15" max="19" width="23" style="594" customWidth="1"/>
    <col min="20" max="21" width="24.140625" style="1" customWidth="1"/>
    <col min="22" max="25" width="17.85546875" style="1" customWidth="1"/>
    <col min="26" max="27" width="21.140625" style="1" customWidth="1"/>
    <col min="28" max="28" width="20.5703125" style="1" customWidth="1"/>
    <col min="29" max="29" width="21.140625" style="1" customWidth="1"/>
    <col min="30" max="31" width="17.5703125" style="1" customWidth="1"/>
    <col min="32" max="32" width="21.85546875" style="1" customWidth="1"/>
    <col min="33" max="33" width="20" style="1" customWidth="1"/>
    <col min="34" max="34" width="20.5703125" style="1" bestFit="1" customWidth="1"/>
    <col min="35" max="35" width="20.5703125" style="1" customWidth="1"/>
    <col min="36" max="36" width="22.28515625" style="1" bestFit="1" customWidth="1"/>
    <col min="37" max="37" width="20.140625" style="1" customWidth="1"/>
    <col min="38" max="39" width="29.140625" style="626" customWidth="1"/>
    <col min="40" max="43" width="21.42578125" style="626" customWidth="1"/>
    <col min="44" max="45" width="23.85546875" style="626" customWidth="1"/>
    <col min="46" max="49" width="21.42578125" style="626" customWidth="1"/>
    <col min="50" max="50" width="20.85546875" style="1" customWidth="1"/>
    <col min="51" max="51" width="19" style="1" customWidth="1"/>
    <col min="52" max="52" width="19" style="1031" hidden="1" customWidth="1"/>
    <col min="53" max="53" width="20.5703125" style="1" bestFit="1" customWidth="1"/>
    <col min="54" max="54" width="18.85546875" style="1" customWidth="1"/>
    <col min="55" max="56" width="17.5703125" style="1" customWidth="1"/>
    <col min="57" max="58" width="19.140625" style="1" customWidth="1"/>
    <col min="59" max="62" width="18.42578125" style="1" customWidth="1"/>
    <col min="63" max="64" width="23" style="1" customWidth="1"/>
    <col min="65" max="68" width="18.42578125" style="1" customWidth="1"/>
    <col min="69" max="16384" width="8.7109375" style="1"/>
  </cols>
  <sheetData>
    <row r="2" spans="1:68" ht="18" x14ac:dyDescent="0.25">
      <c r="C2" s="623" t="s">
        <v>896</v>
      </c>
      <c r="F2" s="624" t="str">
        <f>'Район  и  поселения'!E3</f>
        <v>ПО  СОСТОЯНИЮ  НА  1  ИЮЛЯ  2024  ГОДА</v>
      </c>
      <c r="Z2" s="625"/>
      <c r="AA2" s="625"/>
      <c r="AB2" s="625"/>
      <c r="AC2" s="625"/>
      <c r="AD2" s="625"/>
      <c r="AE2" s="625"/>
    </row>
    <row r="3" spans="1:68" x14ac:dyDescent="0.25">
      <c r="B3" s="625"/>
      <c r="C3" s="625"/>
      <c r="D3" s="625"/>
      <c r="E3" s="625"/>
      <c r="F3" s="625"/>
      <c r="G3" s="625"/>
      <c r="Z3" s="625"/>
      <c r="AA3" s="625"/>
      <c r="AB3" s="625"/>
      <c r="AC3" s="625"/>
      <c r="AD3" s="625"/>
      <c r="AE3" s="625"/>
    </row>
    <row r="4" spans="1:68" x14ac:dyDescent="0.25">
      <c r="I4" s="512" t="s">
        <v>897</v>
      </c>
    </row>
    <row r="5" spans="1:68" s="627" customFormat="1" ht="274.5" customHeight="1" x14ac:dyDescent="0.2">
      <c r="A5" s="1647" t="s">
        <v>812</v>
      </c>
      <c r="B5" s="1642" t="s">
        <v>31</v>
      </c>
      <c r="C5" s="1648"/>
      <c r="D5" s="1636" t="s">
        <v>814</v>
      </c>
      <c r="E5" s="1651"/>
      <c r="F5" s="1654" t="s">
        <v>815</v>
      </c>
      <c r="G5" s="1654"/>
      <c r="H5" s="1641" t="s">
        <v>898</v>
      </c>
      <c r="I5" s="1641"/>
      <c r="J5" s="1636" t="s">
        <v>814</v>
      </c>
      <c r="K5" s="1637"/>
      <c r="L5" s="1636" t="s">
        <v>815</v>
      </c>
      <c r="M5" s="1637"/>
      <c r="N5" s="1643" t="s">
        <v>899</v>
      </c>
      <c r="O5" s="1644"/>
      <c r="P5" s="1636" t="s">
        <v>814</v>
      </c>
      <c r="Q5" s="1637"/>
      <c r="R5" s="1636" t="s">
        <v>815</v>
      </c>
      <c r="S5" s="1637"/>
      <c r="T5" s="1639" t="s">
        <v>900</v>
      </c>
      <c r="U5" s="1640"/>
      <c r="V5" s="1636" t="s">
        <v>814</v>
      </c>
      <c r="W5" s="1637"/>
      <c r="X5" s="1636" t="s">
        <v>815</v>
      </c>
      <c r="Y5" s="1637"/>
      <c r="Z5" s="1645" t="s">
        <v>901</v>
      </c>
      <c r="AA5" s="1646"/>
      <c r="AB5" s="1636" t="s">
        <v>814</v>
      </c>
      <c r="AC5" s="1637"/>
      <c r="AD5" s="1636" t="s">
        <v>815</v>
      </c>
      <c r="AE5" s="1637"/>
      <c r="AF5" s="1647" t="s">
        <v>613</v>
      </c>
      <c r="AG5" s="1647"/>
      <c r="AH5" s="1636" t="s">
        <v>814</v>
      </c>
      <c r="AI5" s="1637"/>
      <c r="AJ5" s="1636" t="s">
        <v>815</v>
      </c>
      <c r="AK5" s="1637"/>
      <c r="AL5" s="1639" t="s">
        <v>530</v>
      </c>
      <c r="AM5" s="1640"/>
      <c r="AN5" s="1636" t="s">
        <v>814</v>
      </c>
      <c r="AO5" s="1637"/>
      <c r="AP5" s="1636" t="s">
        <v>815</v>
      </c>
      <c r="AQ5" s="1637"/>
      <c r="AR5" s="1641" t="s">
        <v>510</v>
      </c>
      <c r="AS5" s="1642"/>
      <c r="AT5" s="1636" t="s">
        <v>814</v>
      </c>
      <c r="AU5" s="1637"/>
      <c r="AV5" s="1636" t="s">
        <v>815</v>
      </c>
      <c r="AW5" s="1637"/>
      <c r="AX5" s="1641" t="s">
        <v>902</v>
      </c>
      <c r="AY5" s="1642"/>
      <c r="AZ5" s="1032"/>
      <c r="BA5" s="1636" t="s">
        <v>814</v>
      </c>
      <c r="BB5" s="1637"/>
      <c r="BC5" s="1636" t="s">
        <v>815</v>
      </c>
      <c r="BD5" s="1637"/>
      <c r="BE5" s="1639" t="s">
        <v>903</v>
      </c>
      <c r="BF5" s="1640"/>
      <c r="BG5" s="1636" t="s">
        <v>814</v>
      </c>
      <c r="BH5" s="1637"/>
      <c r="BI5" s="1636" t="s">
        <v>815</v>
      </c>
      <c r="BJ5" s="1637"/>
      <c r="BK5" s="1638" t="s">
        <v>441</v>
      </c>
      <c r="BL5" s="1638"/>
      <c r="BM5" s="1636" t="s">
        <v>814</v>
      </c>
      <c r="BN5" s="1637"/>
      <c r="BO5" s="1636" t="s">
        <v>815</v>
      </c>
      <c r="BP5" s="1637"/>
    </row>
    <row r="6" spans="1:68" s="628" customFormat="1" ht="18" customHeight="1" x14ac:dyDescent="0.2">
      <c r="A6" s="1647"/>
      <c r="B6" s="1649"/>
      <c r="C6" s="1650"/>
      <c r="D6" s="1652"/>
      <c r="E6" s="1653"/>
      <c r="F6" s="1654"/>
      <c r="G6" s="1654"/>
      <c r="H6" s="1634" t="s">
        <v>591</v>
      </c>
      <c r="I6" s="1635"/>
      <c r="J6" s="1635"/>
      <c r="K6" s="1635"/>
      <c r="L6" s="1635"/>
      <c r="M6" s="1635"/>
      <c r="N6" s="1635" t="s">
        <v>464</v>
      </c>
      <c r="O6" s="1634"/>
      <c r="P6" s="1634"/>
      <c r="Q6" s="1634"/>
      <c r="R6" s="1634"/>
      <c r="S6" s="1634"/>
      <c r="T6" s="1634" t="s">
        <v>472</v>
      </c>
      <c r="U6" s="1634"/>
      <c r="V6" s="1634"/>
      <c r="W6" s="1634"/>
      <c r="X6" s="1634"/>
      <c r="Y6" s="1634"/>
      <c r="Z6" s="1634" t="s">
        <v>904</v>
      </c>
      <c r="AA6" s="1634"/>
      <c r="AB6" s="1634"/>
      <c r="AC6" s="1634"/>
      <c r="AD6" s="1634"/>
      <c r="AE6" s="1634"/>
      <c r="AF6" s="1634" t="s">
        <v>614</v>
      </c>
      <c r="AG6" s="1635"/>
      <c r="AH6" s="1635"/>
      <c r="AI6" s="1635"/>
      <c r="AJ6" s="1635"/>
      <c r="AK6" s="1635"/>
      <c r="AL6" s="1613" t="s">
        <v>531</v>
      </c>
      <c r="AM6" s="1610"/>
      <c r="AN6" s="1610"/>
      <c r="AO6" s="1610"/>
      <c r="AP6" s="1610"/>
      <c r="AQ6" s="1609"/>
      <c r="AR6" s="1634" t="s">
        <v>511</v>
      </c>
      <c r="AS6" s="1635"/>
      <c r="AT6" s="1635"/>
      <c r="AU6" s="1635"/>
      <c r="AV6" s="1635"/>
      <c r="AW6" s="1635"/>
      <c r="AX6" s="1635" t="s">
        <v>438</v>
      </c>
      <c r="AY6" s="1635"/>
      <c r="AZ6" s="1635"/>
      <c r="BA6" s="1635"/>
      <c r="BB6" s="1635"/>
      <c r="BC6" s="1635"/>
      <c r="BD6" s="1635"/>
      <c r="BE6" s="1634" t="s">
        <v>521</v>
      </c>
      <c r="BF6" s="1635"/>
      <c r="BG6" s="1635"/>
      <c r="BH6" s="1635"/>
      <c r="BI6" s="1635"/>
      <c r="BJ6" s="1635"/>
      <c r="BK6" s="1634" t="s">
        <v>442</v>
      </c>
      <c r="BL6" s="1635"/>
      <c r="BM6" s="1635"/>
      <c r="BN6" s="1635"/>
      <c r="BO6" s="1635"/>
      <c r="BP6" s="1635"/>
    </row>
    <row r="7" spans="1:68" s="215" customFormat="1" ht="18" customHeight="1" x14ac:dyDescent="0.25">
      <c r="A7" s="256"/>
      <c r="B7" s="407" t="s">
        <v>315</v>
      </c>
      <c r="C7" s="407" t="s">
        <v>317</v>
      </c>
      <c r="D7" s="629" t="s">
        <v>315</v>
      </c>
      <c r="E7" s="629" t="s">
        <v>317</v>
      </c>
      <c r="F7" s="629" t="s">
        <v>315</v>
      </c>
      <c r="G7" s="629" t="s">
        <v>317</v>
      </c>
      <c r="H7" s="407" t="s">
        <v>315</v>
      </c>
      <c r="I7" s="407" t="s">
        <v>317</v>
      </c>
      <c r="J7" s="630" t="s">
        <v>315</v>
      </c>
      <c r="K7" s="630" t="s">
        <v>317</v>
      </c>
      <c r="L7" s="630" t="s">
        <v>315</v>
      </c>
      <c r="M7" s="630" t="s">
        <v>317</v>
      </c>
      <c r="N7" s="407" t="s">
        <v>315</v>
      </c>
      <c r="O7" s="407" t="s">
        <v>317</v>
      </c>
      <c r="P7" s="630" t="s">
        <v>315</v>
      </c>
      <c r="Q7" s="630" t="s">
        <v>317</v>
      </c>
      <c r="R7" s="630" t="s">
        <v>315</v>
      </c>
      <c r="S7" s="630" t="s">
        <v>317</v>
      </c>
      <c r="T7" s="407" t="s">
        <v>315</v>
      </c>
      <c r="U7" s="407" t="s">
        <v>317</v>
      </c>
      <c r="V7" s="630" t="s">
        <v>315</v>
      </c>
      <c r="W7" s="630" t="s">
        <v>317</v>
      </c>
      <c r="X7" s="630" t="s">
        <v>315</v>
      </c>
      <c r="Y7" s="630" t="s">
        <v>317</v>
      </c>
      <c r="Z7" s="407" t="s">
        <v>315</v>
      </c>
      <c r="AA7" s="407" t="s">
        <v>317</v>
      </c>
      <c r="AB7" s="630" t="s">
        <v>315</v>
      </c>
      <c r="AC7" s="630" t="s">
        <v>317</v>
      </c>
      <c r="AD7" s="630" t="s">
        <v>315</v>
      </c>
      <c r="AE7" s="630" t="s">
        <v>317</v>
      </c>
      <c r="AF7" s="407" t="s">
        <v>315</v>
      </c>
      <c r="AG7" s="407" t="s">
        <v>317</v>
      </c>
      <c r="AH7" s="629" t="s">
        <v>315</v>
      </c>
      <c r="AI7" s="629" t="s">
        <v>317</v>
      </c>
      <c r="AJ7" s="629" t="s">
        <v>315</v>
      </c>
      <c r="AK7" s="629" t="s">
        <v>317</v>
      </c>
      <c r="AL7" s="375" t="s">
        <v>315</v>
      </c>
      <c r="AM7" s="375" t="s">
        <v>317</v>
      </c>
      <c r="AN7" s="629" t="s">
        <v>315</v>
      </c>
      <c r="AO7" s="629" t="s">
        <v>317</v>
      </c>
      <c r="AP7" s="629" t="s">
        <v>315</v>
      </c>
      <c r="AQ7" s="629" t="s">
        <v>317</v>
      </c>
      <c r="AR7" s="407" t="s">
        <v>315</v>
      </c>
      <c r="AS7" s="407" t="s">
        <v>317</v>
      </c>
      <c r="AT7" s="630" t="s">
        <v>315</v>
      </c>
      <c r="AU7" s="630" t="s">
        <v>317</v>
      </c>
      <c r="AV7" s="630" t="s">
        <v>315</v>
      </c>
      <c r="AW7" s="630" t="s">
        <v>317</v>
      </c>
      <c r="AX7" s="407" t="s">
        <v>315</v>
      </c>
      <c r="AY7" s="407" t="s">
        <v>317</v>
      </c>
      <c r="AZ7" s="1033"/>
      <c r="BA7" s="629" t="s">
        <v>315</v>
      </c>
      <c r="BB7" s="629" t="s">
        <v>317</v>
      </c>
      <c r="BC7" s="629" t="s">
        <v>315</v>
      </c>
      <c r="BD7" s="629" t="s">
        <v>317</v>
      </c>
      <c r="BE7" s="407" t="s">
        <v>315</v>
      </c>
      <c r="BF7" s="407" t="s">
        <v>317</v>
      </c>
      <c r="BG7" s="630" t="s">
        <v>315</v>
      </c>
      <c r="BH7" s="630" t="s">
        <v>317</v>
      </c>
      <c r="BI7" s="630" t="s">
        <v>315</v>
      </c>
      <c r="BJ7" s="630" t="s">
        <v>317</v>
      </c>
      <c r="BK7" s="407" t="s">
        <v>315</v>
      </c>
      <c r="BL7" s="407" t="s">
        <v>317</v>
      </c>
      <c r="BM7" s="630" t="s">
        <v>315</v>
      </c>
      <c r="BN7" s="630" t="s">
        <v>317</v>
      </c>
      <c r="BO7" s="630" t="s">
        <v>315</v>
      </c>
      <c r="BP7" s="630" t="s">
        <v>317</v>
      </c>
    </row>
    <row r="8" spans="1:68" s="639" customFormat="1" ht="21" customHeight="1" x14ac:dyDescent="0.25">
      <c r="A8" s="1091" t="s">
        <v>1301</v>
      </c>
      <c r="B8" s="1092">
        <f t="shared" ref="B8:C11" si="0">H8+AX8+Z8+AL8+AF8+AR8+BK8+T8+BE8+N8</f>
        <v>547309.22</v>
      </c>
      <c r="C8" s="1092">
        <f t="shared" si="0"/>
        <v>0</v>
      </c>
      <c r="D8" s="631">
        <f t="shared" ref="D8:G11" si="1">J8+BA8+AB8+AN8+AH8+AT8+BM8+V8+BG8+P8</f>
        <v>501346.43</v>
      </c>
      <c r="E8" s="631">
        <f t="shared" si="1"/>
        <v>0</v>
      </c>
      <c r="F8" s="631">
        <f t="shared" si="1"/>
        <v>45962.79</v>
      </c>
      <c r="G8" s="631">
        <f t="shared" si="1"/>
        <v>0</v>
      </c>
      <c r="H8" s="632">
        <f>[1]Субсидия_факт!DZ10</f>
        <v>0</v>
      </c>
      <c r="I8" s="633"/>
      <c r="J8" s="631">
        <f t="shared" ref="J8:K23" si="2">H8-L8</f>
        <v>0</v>
      </c>
      <c r="K8" s="631">
        <f t="shared" si="2"/>
        <v>0</v>
      </c>
      <c r="L8" s="634">
        <f>[1]Субсидия_факт!EB10</f>
        <v>0</v>
      </c>
      <c r="M8" s="635"/>
      <c r="N8" s="636">
        <f>[1]Субсидия_факт!LH10</f>
        <v>0</v>
      </c>
      <c r="O8" s="637"/>
      <c r="P8" s="631">
        <f t="shared" ref="P8:Q25" si="3">N8-R8</f>
        <v>0</v>
      </c>
      <c r="Q8" s="631">
        <f t="shared" si="3"/>
        <v>0</v>
      </c>
      <c r="R8" s="634">
        <f t="shared" ref="R8:S11" si="4">N8</f>
        <v>0</v>
      </c>
      <c r="S8" s="634">
        <f t="shared" si="4"/>
        <v>0</v>
      </c>
      <c r="T8" s="632">
        <f>[1]Субсидия_факт!MN10</f>
        <v>0</v>
      </c>
      <c r="U8" s="638"/>
      <c r="V8" s="631">
        <f t="shared" ref="V8:W23" si="5">T8-X8</f>
        <v>0</v>
      </c>
      <c r="W8" s="631">
        <f t="shared" si="5"/>
        <v>0</v>
      </c>
      <c r="X8" s="634">
        <f>[1]Субсидия_факт!MP10</f>
        <v>0</v>
      </c>
      <c r="Y8" s="635"/>
      <c r="Z8" s="632">
        <f>[1]Субсидия_факт!MZ10</f>
        <v>0</v>
      </c>
      <c r="AA8" s="638"/>
      <c r="AB8" s="631">
        <f t="shared" ref="AB8:AC23" si="6">Z8-AD8</f>
        <v>0</v>
      </c>
      <c r="AC8" s="631">
        <f t="shared" si="6"/>
        <v>0</v>
      </c>
      <c r="AD8" s="634">
        <f>[1]Субсидия_факт!NB10</f>
        <v>0</v>
      </c>
      <c r="AE8" s="635"/>
      <c r="AF8" s="632">
        <f>[1]Субсидия_факт!NF10</f>
        <v>0</v>
      </c>
      <c r="AG8" s="638"/>
      <c r="AH8" s="631">
        <f t="shared" ref="AH8:AI23" si="7">AF8-AJ8</f>
        <v>0</v>
      </c>
      <c r="AI8" s="631">
        <f t="shared" si="7"/>
        <v>0</v>
      </c>
      <c r="AJ8" s="634">
        <f>[1]Субсидия_факт!NH10</f>
        <v>0</v>
      </c>
      <c r="AK8" s="635"/>
      <c r="AL8" s="632">
        <f>[1]Субсидия_факт!NN10</f>
        <v>547309.22</v>
      </c>
      <c r="AM8" s="638"/>
      <c r="AN8" s="631">
        <f t="shared" ref="AN8:AO23" si="8">AL8-AP8</f>
        <v>501346.43</v>
      </c>
      <c r="AO8" s="631">
        <f t="shared" si="8"/>
        <v>0</v>
      </c>
      <c r="AP8" s="634">
        <f>[1]Субсидия_факт!NP10</f>
        <v>45962.79</v>
      </c>
      <c r="AQ8" s="635"/>
      <c r="AR8" s="632">
        <f>[1]Субсидия_факт!NT10</f>
        <v>0</v>
      </c>
      <c r="AS8" s="633"/>
      <c r="AT8" s="631">
        <f t="shared" ref="AT8:AU23" si="9">AR8-AV8</f>
        <v>0</v>
      </c>
      <c r="AU8" s="631">
        <f t="shared" si="9"/>
        <v>0</v>
      </c>
      <c r="AV8" s="634">
        <f>[1]Субсидия_факт!NV10</f>
        <v>0</v>
      </c>
      <c r="AW8" s="635"/>
      <c r="AX8" s="632">
        <f>[1]Субсидия_факт!OY10</f>
        <v>0</v>
      </c>
      <c r="AY8" s="633">
        <f>AZ8-'Прочая  субсидия_МР  и  ГО'!BC8</f>
        <v>0</v>
      </c>
      <c r="AZ8" s="1036">
        <v>148408.35999999999</v>
      </c>
      <c r="BA8" s="631">
        <f t="shared" ref="BA8:BB23" si="10">AX8-BC8</f>
        <v>0</v>
      </c>
      <c r="BB8" s="631">
        <f t="shared" si="10"/>
        <v>0</v>
      </c>
      <c r="BC8" s="634">
        <f>[1]Субсидия_факт!PA10</f>
        <v>0</v>
      </c>
      <c r="BD8" s="635"/>
      <c r="BE8" s="632">
        <f>[1]Субсидия_факт!PG10</f>
        <v>0</v>
      </c>
      <c r="BF8" s="638"/>
      <c r="BG8" s="631">
        <f t="shared" ref="BG8:BH23" si="11">BE8-BI8</f>
        <v>0</v>
      </c>
      <c r="BH8" s="631">
        <f t="shared" si="11"/>
        <v>0</v>
      </c>
      <c r="BI8" s="634">
        <f>[1]Субсидия_факт!PI10</f>
        <v>0</v>
      </c>
      <c r="BJ8" s="635"/>
      <c r="BK8" s="632">
        <f>[1]Субсидия_факт!PY10</f>
        <v>0</v>
      </c>
      <c r="BL8" s="638"/>
      <c r="BM8" s="631">
        <f t="shared" ref="BM8:BN23" si="12">BK8-BO8</f>
        <v>0</v>
      </c>
      <c r="BN8" s="631">
        <f t="shared" si="12"/>
        <v>0</v>
      </c>
      <c r="BO8" s="634">
        <f>[1]Субсидия_факт!QA10</f>
        <v>0</v>
      </c>
      <c r="BP8" s="635"/>
    </row>
    <row r="9" spans="1:68" s="639" customFormat="1" ht="21" customHeight="1" x14ac:dyDescent="0.25">
      <c r="A9" s="1091" t="s">
        <v>1302</v>
      </c>
      <c r="B9" s="1092">
        <f t="shared" si="0"/>
        <v>299720.09000000003</v>
      </c>
      <c r="C9" s="1092">
        <f t="shared" si="0"/>
        <v>0</v>
      </c>
      <c r="D9" s="631">
        <f t="shared" si="1"/>
        <v>184315.53000000003</v>
      </c>
      <c r="E9" s="631">
        <f t="shared" si="1"/>
        <v>0</v>
      </c>
      <c r="F9" s="631">
        <f t="shared" si="1"/>
        <v>115404.56</v>
      </c>
      <c r="G9" s="631">
        <f t="shared" si="1"/>
        <v>0</v>
      </c>
      <c r="H9" s="632">
        <f>[1]Субсидия_факт!DZ14</f>
        <v>0</v>
      </c>
      <c r="I9" s="633"/>
      <c r="J9" s="631">
        <f t="shared" ref="J9:K11" si="13">H9-L9</f>
        <v>0</v>
      </c>
      <c r="K9" s="631">
        <f t="shared" si="13"/>
        <v>0</v>
      </c>
      <c r="L9" s="634">
        <f>[1]Субсидия_факт!EB14</f>
        <v>0</v>
      </c>
      <c r="M9" s="635"/>
      <c r="N9" s="636">
        <f>[1]Субсидия_факт!LH14</f>
        <v>0</v>
      </c>
      <c r="O9" s="637"/>
      <c r="P9" s="631">
        <f t="shared" ref="P9:Q11" si="14">N9-R9</f>
        <v>0</v>
      </c>
      <c r="Q9" s="631">
        <f t="shared" si="14"/>
        <v>0</v>
      </c>
      <c r="R9" s="634">
        <f t="shared" si="4"/>
        <v>0</v>
      </c>
      <c r="S9" s="634">
        <f t="shared" si="4"/>
        <v>0</v>
      </c>
      <c r="T9" s="632">
        <f>[1]Субсидия_факт!MN14</f>
        <v>0</v>
      </c>
      <c r="U9" s="638"/>
      <c r="V9" s="631">
        <f t="shared" ref="V9:W11" si="15">T9-X9</f>
        <v>0</v>
      </c>
      <c r="W9" s="631">
        <f t="shared" si="15"/>
        <v>0</v>
      </c>
      <c r="X9" s="634">
        <f>[1]Субсидия_факт!MP14</f>
        <v>0</v>
      </c>
      <c r="Y9" s="635"/>
      <c r="Z9" s="632">
        <f>[1]Субсидия_факт!MZ14</f>
        <v>0</v>
      </c>
      <c r="AA9" s="638"/>
      <c r="AB9" s="631">
        <f t="shared" ref="AB9:AC11" si="16">Z9-AD9</f>
        <v>0</v>
      </c>
      <c r="AC9" s="631">
        <f t="shared" si="16"/>
        <v>0</v>
      </c>
      <c r="AD9" s="634">
        <f>[1]Субсидия_факт!NB14</f>
        <v>0</v>
      </c>
      <c r="AE9" s="635"/>
      <c r="AF9" s="632">
        <f>[1]Субсидия_факт!NF14</f>
        <v>0</v>
      </c>
      <c r="AG9" s="638"/>
      <c r="AH9" s="631">
        <f t="shared" ref="AH9:AI11" si="17">AF9-AJ9</f>
        <v>0</v>
      </c>
      <c r="AI9" s="631">
        <f t="shared" si="17"/>
        <v>0</v>
      </c>
      <c r="AJ9" s="634">
        <f>[1]Субсидия_факт!NH14</f>
        <v>0</v>
      </c>
      <c r="AK9" s="635"/>
      <c r="AL9" s="632">
        <f>[1]Субсидия_факт!NN14</f>
        <v>299720.09000000003</v>
      </c>
      <c r="AM9" s="638"/>
      <c r="AN9" s="631">
        <f t="shared" ref="AN9:AO11" si="18">AL9-AP9</f>
        <v>184315.53000000003</v>
      </c>
      <c r="AO9" s="631">
        <f t="shared" si="18"/>
        <v>0</v>
      </c>
      <c r="AP9" s="634">
        <f>[1]Субсидия_факт!NP14</f>
        <v>115404.56</v>
      </c>
      <c r="AQ9" s="635"/>
      <c r="AR9" s="632">
        <f>[1]Субсидия_факт!NT14</f>
        <v>0</v>
      </c>
      <c r="AS9" s="633"/>
      <c r="AT9" s="631">
        <f t="shared" ref="AT9:AU11" si="19">AR9-AV9</f>
        <v>0</v>
      </c>
      <c r="AU9" s="631">
        <f t="shared" si="19"/>
        <v>0</v>
      </c>
      <c r="AV9" s="634">
        <f>[1]Субсидия_факт!NV14</f>
        <v>0</v>
      </c>
      <c r="AW9" s="635"/>
      <c r="AX9" s="632">
        <f>[1]Субсидия_факт!OY14</f>
        <v>0</v>
      </c>
      <c r="AY9" s="633">
        <f>AZ9-'Прочая  субсидия_МР  и  ГО'!BC9</f>
        <v>0</v>
      </c>
      <c r="AZ9" s="668">
        <v>90073.600000000006</v>
      </c>
      <c r="BA9" s="631">
        <f t="shared" ref="BA9:BB11" si="20">AX9-BC9</f>
        <v>0</v>
      </c>
      <c r="BB9" s="631">
        <f t="shared" si="20"/>
        <v>0</v>
      </c>
      <c r="BC9" s="634">
        <f>[1]Субсидия_факт!PA14</f>
        <v>0</v>
      </c>
      <c r="BD9" s="635"/>
      <c r="BE9" s="632">
        <f>[1]Субсидия_факт!PG14</f>
        <v>0</v>
      </c>
      <c r="BF9" s="638"/>
      <c r="BG9" s="631">
        <f t="shared" ref="BG9:BH11" si="21">BE9-BI9</f>
        <v>0</v>
      </c>
      <c r="BH9" s="631">
        <f t="shared" si="21"/>
        <v>0</v>
      </c>
      <c r="BI9" s="634">
        <f>[1]Субсидия_факт!PI14</f>
        <v>0</v>
      </c>
      <c r="BJ9" s="635"/>
      <c r="BK9" s="632">
        <f>[1]Субсидия_факт!PY14</f>
        <v>0</v>
      </c>
      <c r="BL9" s="638"/>
      <c r="BM9" s="631">
        <f t="shared" ref="BM9:BN11" si="22">BK9-BO9</f>
        <v>0</v>
      </c>
      <c r="BN9" s="631">
        <f t="shared" si="22"/>
        <v>0</v>
      </c>
      <c r="BO9" s="634">
        <f>[1]Субсидия_факт!QA14</f>
        <v>0</v>
      </c>
      <c r="BP9" s="635"/>
    </row>
    <row r="10" spans="1:68" s="639" customFormat="1" ht="21" customHeight="1" x14ac:dyDescent="0.25">
      <c r="A10" s="1091" t="s">
        <v>1303</v>
      </c>
      <c r="B10" s="1092">
        <f t="shared" si="0"/>
        <v>433278.37</v>
      </c>
      <c r="C10" s="1092">
        <f t="shared" si="0"/>
        <v>0</v>
      </c>
      <c r="D10" s="631">
        <f t="shared" si="1"/>
        <v>-39140.359999999986</v>
      </c>
      <c r="E10" s="631">
        <f t="shared" si="1"/>
        <v>0</v>
      </c>
      <c r="F10" s="631">
        <f t="shared" si="1"/>
        <v>472418.73</v>
      </c>
      <c r="G10" s="631">
        <f t="shared" si="1"/>
        <v>0</v>
      </c>
      <c r="H10" s="632">
        <f>[1]Субсидия_факт!DZ18</f>
        <v>0</v>
      </c>
      <c r="I10" s="633"/>
      <c r="J10" s="631">
        <f t="shared" si="13"/>
        <v>0</v>
      </c>
      <c r="K10" s="631">
        <f t="shared" si="13"/>
        <v>0</v>
      </c>
      <c r="L10" s="634">
        <f>[1]Субсидия_факт!EB18</f>
        <v>0</v>
      </c>
      <c r="M10" s="635"/>
      <c r="N10" s="636">
        <f>[1]Субсидия_факт!LH18</f>
        <v>0</v>
      </c>
      <c r="O10" s="637"/>
      <c r="P10" s="631">
        <f t="shared" si="14"/>
        <v>0</v>
      </c>
      <c r="Q10" s="631">
        <f t="shared" si="14"/>
        <v>0</v>
      </c>
      <c r="R10" s="634">
        <f t="shared" si="4"/>
        <v>0</v>
      </c>
      <c r="S10" s="634">
        <f t="shared" si="4"/>
        <v>0</v>
      </c>
      <c r="T10" s="632">
        <f>[1]Субсидия_факт!MN18</f>
        <v>0</v>
      </c>
      <c r="U10" s="638"/>
      <c r="V10" s="631">
        <f t="shared" si="15"/>
        <v>0</v>
      </c>
      <c r="W10" s="631">
        <f t="shared" si="15"/>
        <v>0</v>
      </c>
      <c r="X10" s="634">
        <f>[1]Субсидия_факт!MP18</f>
        <v>0</v>
      </c>
      <c r="Y10" s="635"/>
      <c r="Z10" s="632">
        <f>[1]Субсидия_факт!MZ18</f>
        <v>0</v>
      </c>
      <c r="AA10" s="638"/>
      <c r="AB10" s="631">
        <f t="shared" si="16"/>
        <v>0</v>
      </c>
      <c r="AC10" s="631">
        <f t="shared" si="16"/>
        <v>0</v>
      </c>
      <c r="AD10" s="634">
        <f>[1]Субсидия_факт!NB18</f>
        <v>0</v>
      </c>
      <c r="AE10" s="635"/>
      <c r="AF10" s="632">
        <f>[1]Субсидия_факт!NF18</f>
        <v>0</v>
      </c>
      <c r="AG10" s="638"/>
      <c r="AH10" s="631">
        <f t="shared" si="17"/>
        <v>0</v>
      </c>
      <c r="AI10" s="631">
        <f t="shared" si="17"/>
        <v>0</v>
      </c>
      <c r="AJ10" s="634">
        <f>[1]Субсидия_факт!NH18</f>
        <v>0</v>
      </c>
      <c r="AK10" s="635"/>
      <c r="AL10" s="632">
        <f>[1]Субсидия_факт!NN18</f>
        <v>433278.37</v>
      </c>
      <c r="AM10" s="638"/>
      <c r="AN10" s="631">
        <f t="shared" si="18"/>
        <v>-39140.359999999986</v>
      </c>
      <c r="AO10" s="631">
        <f t="shared" si="18"/>
        <v>0</v>
      </c>
      <c r="AP10" s="634">
        <f>[1]Субсидия_факт!NP18</f>
        <v>472418.73</v>
      </c>
      <c r="AQ10" s="635"/>
      <c r="AR10" s="632">
        <f>[1]Субсидия_факт!NT18</f>
        <v>0</v>
      </c>
      <c r="AS10" s="633"/>
      <c r="AT10" s="631">
        <f t="shared" si="19"/>
        <v>0</v>
      </c>
      <c r="AU10" s="631">
        <f t="shared" si="19"/>
        <v>0</v>
      </c>
      <c r="AV10" s="634">
        <f>[1]Субсидия_факт!NV18</f>
        <v>0</v>
      </c>
      <c r="AW10" s="635"/>
      <c r="AX10" s="632">
        <f>[1]Субсидия_факт!OY18</f>
        <v>0</v>
      </c>
      <c r="AY10" s="633">
        <f>AZ10-'Прочая  субсидия_МР  и  ГО'!BC10</f>
        <v>0</v>
      </c>
      <c r="AZ10" s="668">
        <v>212601.81</v>
      </c>
      <c r="BA10" s="631">
        <f t="shared" si="20"/>
        <v>0</v>
      </c>
      <c r="BB10" s="631">
        <f t="shared" si="20"/>
        <v>0</v>
      </c>
      <c r="BC10" s="634">
        <f>[1]Субсидия_факт!PA18</f>
        <v>0</v>
      </c>
      <c r="BD10" s="635"/>
      <c r="BE10" s="632">
        <f>[1]Субсидия_факт!PG18</f>
        <v>0</v>
      </c>
      <c r="BF10" s="638"/>
      <c r="BG10" s="631">
        <f t="shared" si="21"/>
        <v>0</v>
      </c>
      <c r="BH10" s="631">
        <f t="shared" si="21"/>
        <v>0</v>
      </c>
      <c r="BI10" s="634">
        <f>[1]Субсидия_факт!PI18</f>
        <v>0</v>
      </c>
      <c r="BJ10" s="635"/>
      <c r="BK10" s="632">
        <f>[1]Субсидия_факт!PY18</f>
        <v>0</v>
      </c>
      <c r="BL10" s="638"/>
      <c r="BM10" s="631">
        <f t="shared" si="22"/>
        <v>0</v>
      </c>
      <c r="BN10" s="631">
        <f t="shared" si="22"/>
        <v>0</v>
      </c>
      <c r="BO10" s="634">
        <f>[1]Субсидия_факт!QA18</f>
        <v>0</v>
      </c>
      <c r="BP10" s="635"/>
    </row>
    <row r="11" spans="1:68" s="639" customFormat="1" ht="21" customHeight="1" x14ac:dyDescent="0.25">
      <c r="A11" s="1091" t="s">
        <v>1304</v>
      </c>
      <c r="B11" s="1092">
        <f t="shared" si="0"/>
        <v>2009128.73</v>
      </c>
      <c r="C11" s="1092">
        <f t="shared" si="0"/>
        <v>0</v>
      </c>
      <c r="D11" s="631">
        <f t="shared" si="1"/>
        <v>1539496.3</v>
      </c>
      <c r="E11" s="631">
        <f t="shared" si="1"/>
        <v>0</v>
      </c>
      <c r="F11" s="631">
        <f t="shared" si="1"/>
        <v>469632.43</v>
      </c>
      <c r="G11" s="631">
        <f t="shared" si="1"/>
        <v>0</v>
      </c>
      <c r="H11" s="632">
        <f>[1]Субсидия_факт!DZ23</f>
        <v>0</v>
      </c>
      <c r="I11" s="633"/>
      <c r="J11" s="631">
        <f t="shared" si="13"/>
        <v>0</v>
      </c>
      <c r="K11" s="631">
        <f t="shared" si="13"/>
        <v>0</v>
      </c>
      <c r="L11" s="634">
        <f>[1]Субсидия_факт!EB23</f>
        <v>0</v>
      </c>
      <c r="M11" s="635"/>
      <c r="N11" s="636">
        <f>[1]Субсидия_факт!LH23</f>
        <v>0</v>
      </c>
      <c r="O11" s="637"/>
      <c r="P11" s="631">
        <f t="shared" si="14"/>
        <v>0</v>
      </c>
      <c r="Q11" s="631">
        <f t="shared" si="14"/>
        <v>0</v>
      </c>
      <c r="R11" s="634">
        <f t="shared" si="4"/>
        <v>0</v>
      </c>
      <c r="S11" s="634">
        <f t="shared" si="4"/>
        <v>0</v>
      </c>
      <c r="T11" s="632">
        <f>[1]Субсидия_факт!MN23</f>
        <v>0</v>
      </c>
      <c r="U11" s="638"/>
      <c r="V11" s="631">
        <f t="shared" si="15"/>
        <v>0</v>
      </c>
      <c r="W11" s="631">
        <f t="shared" si="15"/>
        <v>0</v>
      </c>
      <c r="X11" s="634">
        <f>[1]Субсидия_факт!MP23</f>
        <v>0</v>
      </c>
      <c r="Y11" s="635"/>
      <c r="Z11" s="632">
        <f>[1]Субсидия_факт!MZ23</f>
        <v>0</v>
      </c>
      <c r="AA11" s="638"/>
      <c r="AB11" s="631">
        <f t="shared" si="16"/>
        <v>0</v>
      </c>
      <c r="AC11" s="631">
        <f t="shared" si="16"/>
        <v>0</v>
      </c>
      <c r="AD11" s="634">
        <f>[1]Субсидия_факт!NB23</f>
        <v>0</v>
      </c>
      <c r="AE11" s="635"/>
      <c r="AF11" s="632">
        <f>[1]Субсидия_факт!NF23</f>
        <v>0</v>
      </c>
      <c r="AG11" s="638"/>
      <c r="AH11" s="631">
        <f t="shared" si="17"/>
        <v>0</v>
      </c>
      <c r="AI11" s="631">
        <f t="shared" si="17"/>
        <v>0</v>
      </c>
      <c r="AJ11" s="634">
        <f>[1]Субсидия_факт!NH23</f>
        <v>0</v>
      </c>
      <c r="AK11" s="635"/>
      <c r="AL11" s="632">
        <f>[1]Субсидия_факт!NN23</f>
        <v>2009128.73</v>
      </c>
      <c r="AM11" s="638"/>
      <c r="AN11" s="631">
        <f t="shared" si="18"/>
        <v>1539496.3</v>
      </c>
      <c r="AO11" s="631">
        <f t="shared" si="18"/>
        <v>0</v>
      </c>
      <c r="AP11" s="634">
        <f>[1]Субсидия_факт!NP23</f>
        <v>469632.43</v>
      </c>
      <c r="AQ11" s="635"/>
      <c r="AR11" s="632">
        <f>[1]Субсидия_факт!NT23</f>
        <v>0</v>
      </c>
      <c r="AS11" s="633"/>
      <c r="AT11" s="631">
        <f t="shared" si="19"/>
        <v>0</v>
      </c>
      <c r="AU11" s="631">
        <f t="shared" si="19"/>
        <v>0</v>
      </c>
      <c r="AV11" s="634">
        <f>[1]Субсидия_факт!NV23</f>
        <v>0</v>
      </c>
      <c r="AW11" s="635"/>
      <c r="AX11" s="632">
        <f>[1]Субсидия_факт!OY23</f>
        <v>0</v>
      </c>
      <c r="AY11" s="633">
        <f>AZ11-'Прочая  субсидия_МР  и  ГО'!BC11</f>
        <v>0</v>
      </c>
      <c r="AZ11" s="1038">
        <v>439149.63</v>
      </c>
      <c r="BA11" s="631">
        <f t="shared" si="20"/>
        <v>0</v>
      </c>
      <c r="BB11" s="631">
        <f t="shared" si="20"/>
        <v>0</v>
      </c>
      <c r="BC11" s="634">
        <f>[1]Субсидия_факт!PA23</f>
        <v>0</v>
      </c>
      <c r="BD11" s="635"/>
      <c r="BE11" s="632">
        <f>[1]Субсидия_факт!PG23</f>
        <v>0</v>
      </c>
      <c r="BF11" s="638"/>
      <c r="BG11" s="631">
        <f t="shared" si="21"/>
        <v>0</v>
      </c>
      <c r="BH11" s="631">
        <f t="shared" si="21"/>
        <v>0</v>
      </c>
      <c r="BI11" s="634">
        <f>[1]Субсидия_факт!PI23</f>
        <v>0</v>
      </c>
      <c r="BJ11" s="635"/>
      <c r="BK11" s="632">
        <f>[1]Субсидия_факт!PY23</f>
        <v>0</v>
      </c>
      <c r="BL11" s="638"/>
      <c r="BM11" s="631">
        <f t="shared" si="22"/>
        <v>0</v>
      </c>
      <c r="BN11" s="631">
        <f t="shared" si="22"/>
        <v>0</v>
      </c>
      <c r="BO11" s="634">
        <f>[1]Субсидия_факт!QA23</f>
        <v>0</v>
      </c>
      <c r="BP11" s="635"/>
    </row>
    <row r="12" spans="1:68" s="639" customFormat="1" ht="21" customHeight="1" x14ac:dyDescent="0.25">
      <c r="A12" s="640" t="s">
        <v>1305</v>
      </c>
      <c r="B12" s="641">
        <f t="shared" ref="B12:C25" si="23">H12+AX12+Z12+AL12+AF12+AR12+BK12+T12+BE12+N12</f>
        <v>85695290.980000004</v>
      </c>
      <c r="C12" s="641">
        <f t="shared" si="23"/>
        <v>446458.91999999993</v>
      </c>
      <c r="D12" s="631">
        <f t="shared" ref="D12:G25" si="24">J12+BA12+AB12+AN12+AH12+AT12+BM12+V12+BG12+P12</f>
        <v>22521.160000000149</v>
      </c>
      <c r="E12" s="631">
        <f t="shared" si="24"/>
        <v>350246.8899999999</v>
      </c>
      <c r="F12" s="631">
        <f t="shared" si="24"/>
        <v>85672769.819999993</v>
      </c>
      <c r="G12" s="631">
        <f t="shared" si="24"/>
        <v>96212.03</v>
      </c>
      <c r="H12" s="632">
        <f>[1]Субсидия_факт!DZ11</f>
        <v>0</v>
      </c>
      <c r="I12" s="633"/>
      <c r="J12" s="631">
        <f t="shared" si="2"/>
        <v>0</v>
      </c>
      <c r="K12" s="631">
        <f t="shared" si="2"/>
        <v>0</v>
      </c>
      <c r="L12" s="634">
        <f>[1]Субсидия_факт!EB11</f>
        <v>0</v>
      </c>
      <c r="M12" s="635"/>
      <c r="N12" s="636">
        <f>[1]Субсидия_факт!LH11</f>
        <v>19668962.129999999</v>
      </c>
      <c r="O12" s="637"/>
      <c r="P12" s="631">
        <f t="shared" si="3"/>
        <v>0</v>
      </c>
      <c r="Q12" s="631">
        <f t="shared" si="3"/>
        <v>0</v>
      </c>
      <c r="R12" s="634">
        <f t="shared" ref="R12:S26" si="25">N12</f>
        <v>19668962.129999999</v>
      </c>
      <c r="S12" s="634">
        <f t="shared" si="25"/>
        <v>0</v>
      </c>
      <c r="T12" s="632">
        <f>[1]Субсидия_факт!MN11</f>
        <v>0</v>
      </c>
      <c r="U12" s="638"/>
      <c r="V12" s="631">
        <f t="shared" si="5"/>
        <v>0</v>
      </c>
      <c r="W12" s="631">
        <f t="shared" si="5"/>
        <v>0</v>
      </c>
      <c r="X12" s="634">
        <f>[1]Субсидия_факт!MP11</f>
        <v>0</v>
      </c>
      <c r="Y12" s="635"/>
      <c r="Z12" s="632">
        <f>[1]Субсидия_факт!MZ11</f>
        <v>0</v>
      </c>
      <c r="AA12" s="638"/>
      <c r="AB12" s="631">
        <f t="shared" si="6"/>
        <v>0</v>
      </c>
      <c r="AC12" s="631">
        <f t="shared" si="6"/>
        <v>0</v>
      </c>
      <c r="AD12" s="634">
        <f>[1]Субсидия_факт!NB11</f>
        <v>0</v>
      </c>
      <c r="AE12" s="635"/>
      <c r="AF12" s="632">
        <f>[1]Субсидия_факт!NF11</f>
        <v>64600000</v>
      </c>
      <c r="AG12" s="638"/>
      <c r="AH12" s="631">
        <f t="shared" si="7"/>
        <v>0</v>
      </c>
      <c r="AI12" s="631">
        <f t="shared" si="7"/>
        <v>0</v>
      </c>
      <c r="AJ12" s="634">
        <f>[1]Субсидия_факт!NH11</f>
        <v>64600000</v>
      </c>
      <c r="AK12" s="635"/>
      <c r="AL12" s="632">
        <f>[1]Субсидия_факт!NN11</f>
        <v>520381.94</v>
      </c>
      <c r="AM12" s="638"/>
      <c r="AN12" s="631">
        <f t="shared" si="8"/>
        <v>-634264.18999999994</v>
      </c>
      <c r="AO12" s="631">
        <f t="shared" si="8"/>
        <v>0</v>
      </c>
      <c r="AP12" s="634">
        <f>[1]Субсидия_факт!NP11</f>
        <v>1154646.1299999999</v>
      </c>
      <c r="AQ12" s="635"/>
      <c r="AR12" s="632">
        <f>[1]Субсидия_факт!NT11</f>
        <v>0</v>
      </c>
      <c r="AS12" s="633"/>
      <c r="AT12" s="631">
        <f t="shared" si="9"/>
        <v>0</v>
      </c>
      <c r="AU12" s="631">
        <f t="shared" si="9"/>
        <v>0</v>
      </c>
      <c r="AV12" s="634">
        <f>[1]Субсидия_факт!NV11</f>
        <v>0</v>
      </c>
      <c r="AW12" s="635"/>
      <c r="AX12" s="632">
        <f>[1]Субсидия_факт!OY11</f>
        <v>905946.91000000015</v>
      </c>
      <c r="AY12" s="633">
        <f>AZ12-'Прочая  субсидия_МР  и  ГО'!BC12</f>
        <v>446458.91999999993</v>
      </c>
      <c r="AZ12" s="1036">
        <v>641624.18999999994</v>
      </c>
      <c r="BA12" s="631">
        <f t="shared" si="10"/>
        <v>656785.35000000009</v>
      </c>
      <c r="BB12" s="631">
        <f t="shared" si="10"/>
        <v>350246.8899999999</v>
      </c>
      <c r="BC12" s="634">
        <f>[1]Субсидия_факт!PA11</f>
        <v>249161.56</v>
      </c>
      <c r="BD12" s="635">
        <v>96212.03</v>
      </c>
      <c r="BE12" s="632">
        <f>[1]Субсидия_факт!PG11</f>
        <v>0</v>
      </c>
      <c r="BF12" s="638"/>
      <c r="BG12" s="631">
        <f t="shared" si="11"/>
        <v>0</v>
      </c>
      <c r="BH12" s="631">
        <f t="shared" si="11"/>
        <v>0</v>
      </c>
      <c r="BI12" s="634">
        <f>[1]Субсидия_факт!PI11</f>
        <v>0</v>
      </c>
      <c r="BJ12" s="635"/>
      <c r="BK12" s="632">
        <f>[1]Субсидия_факт!PY11</f>
        <v>0</v>
      </c>
      <c r="BL12" s="638"/>
      <c r="BM12" s="631">
        <f t="shared" si="12"/>
        <v>0</v>
      </c>
      <c r="BN12" s="631">
        <f t="shared" si="12"/>
        <v>0</v>
      </c>
      <c r="BO12" s="634">
        <f>[1]Субсидия_факт!QA11</f>
        <v>0</v>
      </c>
      <c r="BP12" s="635"/>
    </row>
    <row r="13" spans="1:68" s="639" customFormat="1" ht="21" customHeight="1" x14ac:dyDescent="0.25">
      <c r="A13" s="640" t="s">
        <v>1306</v>
      </c>
      <c r="B13" s="641">
        <f t="shared" si="23"/>
        <v>10705562.93</v>
      </c>
      <c r="C13" s="641">
        <f t="shared" si="23"/>
        <v>8956447.3300000001</v>
      </c>
      <c r="D13" s="631">
        <f t="shared" si="24"/>
        <v>256389.50999999992</v>
      </c>
      <c r="E13" s="631">
        <f t="shared" si="24"/>
        <v>130462.04000000004</v>
      </c>
      <c r="F13" s="631">
        <f t="shared" si="24"/>
        <v>10449173.42</v>
      </c>
      <c r="G13" s="631">
        <f t="shared" si="24"/>
        <v>8825985.290000001</v>
      </c>
      <c r="H13" s="632">
        <f>[1]Субсидия_факт!DZ12</f>
        <v>0</v>
      </c>
      <c r="I13" s="633"/>
      <c r="J13" s="631">
        <f t="shared" si="2"/>
        <v>0</v>
      </c>
      <c r="K13" s="631">
        <f t="shared" si="2"/>
        <v>0</v>
      </c>
      <c r="L13" s="634">
        <f>[1]Субсидия_факт!EB12</f>
        <v>0</v>
      </c>
      <c r="M13" s="635"/>
      <c r="N13" s="636">
        <f>[1]Субсидия_факт!LH12</f>
        <v>8457381.1999999993</v>
      </c>
      <c r="O13" s="637">
        <v>8285456.1600000001</v>
      </c>
      <c r="P13" s="631">
        <f t="shared" si="3"/>
        <v>0</v>
      </c>
      <c r="Q13" s="631">
        <f t="shared" si="3"/>
        <v>0</v>
      </c>
      <c r="R13" s="634">
        <f t="shared" si="25"/>
        <v>8457381.1999999993</v>
      </c>
      <c r="S13" s="634">
        <f t="shared" si="25"/>
        <v>8285456.1600000001</v>
      </c>
      <c r="T13" s="632">
        <f>[1]Субсидия_факт!MN12</f>
        <v>0</v>
      </c>
      <c r="U13" s="638"/>
      <c r="V13" s="631">
        <f t="shared" si="5"/>
        <v>0</v>
      </c>
      <c r="W13" s="631">
        <f t="shared" si="5"/>
        <v>0</v>
      </c>
      <c r="X13" s="634">
        <f>[1]Субсидия_факт!MP12</f>
        <v>0</v>
      </c>
      <c r="Y13" s="635"/>
      <c r="Z13" s="632">
        <f>[1]Субсидия_факт!MZ12</f>
        <v>0</v>
      </c>
      <c r="AA13" s="638"/>
      <c r="AB13" s="631">
        <f t="shared" si="6"/>
        <v>0</v>
      </c>
      <c r="AC13" s="631">
        <f t="shared" si="6"/>
        <v>0</v>
      </c>
      <c r="AD13" s="634">
        <f>[1]Субсидия_факт!NB12</f>
        <v>0</v>
      </c>
      <c r="AE13" s="635"/>
      <c r="AF13" s="632">
        <f>[1]Субсидия_факт!NF12</f>
        <v>0</v>
      </c>
      <c r="AG13" s="638"/>
      <c r="AH13" s="631">
        <f t="shared" si="7"/>
        <v>0</v>
      </c>
      <c r="AI13" s="631">
        <f t="shared" si="7"/>
        <v>0</v>
      </c>
      <c r="AJ13" s="634">
        <f>[1]Субсидия_факт!NH12</f>
        <v>0</v>
      </c>
      <c r="AK13" s="635"/>
      <c r="AL13" s="632">
        <f>[1]Субсидия_факт!NN12</f>
        <v>1345029.46</v>
      </c>
      <c r="AM13" s="638"/>
      <c r="AN13" s="631">
        <f t="shared" si="8"/>
        <v>2312.9199999999255</v>
      </c>
      <c r="AO13" s="631">
        <f t="shared" si="8"/>
        <v>0</v>
      </c>
      <c r="AP13" s="634">
        <f>[1]Субсидия_факт!NP12</f>
        <v>1342716.54</v>
      </c>
      <c r="AQ13" s="635"/>
      <c r="AR13" s="632">
        <f>[1]Субсидия_факт!NT12</f>
        <v>649075.68000000005</v>
      </c>
      <c r="AS13" s="638">
        <v>540529.13</v>
      </c>
      <c r="AT13" s="631">
        <f t="shared" si="9"/>
        <v>0</v>
      </c>
      <c r="AU13" s="631">
        <f t="shared" si="9"/>
        <v>0</v>
      </c>
      <c r="AV13" s="634">
        <f>[1]Субсидия_факт!NV12</f>
        <v>649075.68000000005</v>
      </c>
      <c r="AW13" s="1118">
        <f>AS13</f>
        <v>540529.13</v>
      </c>
      <c r="AX13" s="632">
        <f>[1]Субсидия_факт!OY12</f>
        <v>254076.59</v>
      </c>
      <c r="AY13" s="633">
        <f>AZ13-'Прочая  субсидия_МР  и  ГО'!BC13</f>
        <v>130462.04000000004</v>
      </c>
      <c r="AZ13" s="668">
        <v>317169.03000000003</v>
      </c>
      <c r="BA13" s="631">
        <f t="shared" si="10"/>
        <v>254076.59</v>
      </c>
      <c r="BB13" s="631">
        <f t="shared" si="10"/>
        <v>130462.04000000004</v>
      </c>
      <c r="BC13" s="634">
        <f>[1]Субсидия_факт!PA12</f>
        <v>0</v>
      </c>
      <c r="BD13" s="635"/>
      <c r="BE13" s="632">
        <f>[1]Субсидия_факт!PG12</f>
        <v>0</v>
      </c>
      <c r="BF13" s="638"/>
      <c r="BG13" s="631">
        <f t="shared" si="11"/>
        <v>0</v>
      </c>
      <c r="BH13" s="631">
        <f t="shared" si="11"/>
        <v>0</v>
      </c>
      <c r="BI13" s="634">
        <f>[1]Субсидия_факт!PI12</f>
        <v>0</v>
      </c>
      <c r="BJ13" s="635"/>
      <c r="BK13" s="632">
        <f>[1]Субсидия_факт!PY12</f>
        <v>0</v>
      </c>
      <c r="BL13" s="638"/>
      <c r="BM13" s="631">
        <f t="shared" si="12"/>
        <v>0</v>
      </c>
      <c r="BN13" s="631">
        <f t="shared" si="12"/>
        <v>0</v>
      </c>
      <c r="BO13" s="634">
        <f>[1]Субсидия_факт!QA12</f>
        <v>0</v>
      </c>
      <c r="BP13" s="635"/>
    </row>
    <row r="14" spans="1:68" s="639" customFormat="1" ht="21" customHeight="1" x14ac:dyDescent="0.25">
      <c r="A14" s="640" t="s">
        <v>1307</v>
      </c>
      <c r="B14" s="641">
        <f t="shared" si="23"/>
        <v>3529160.41</v>
      </c>
      <c r="C14" s="641">
        <f t="shared" si="23"/>
        <v>152206.00999999998</v>
      </c>
      <c r="D14" s="631">
        <f t="shared" si="24"/>
        <v>1922960.4900000002</v>
      </c>
      <c r="E14" s="631">
        <f t="shared" si="24"/>
        <v>152206.00999999998</v>
      </c>
      <c r="F14" s="631">
        <f t="shared" si="24"/>
        <v>1606199.92</v>
      </c>
      <c r="G14" s="631">
        <f t="shared" si="24"/>
        <v>0</v>
      </c>
      <c r="H14" s="632">
        <f>[1]Субсидия_факт!DZ13</f>
        <v>0</v>
      </c>
      <c r="I14" s="633"/>
      <c r="J14" s="631">
        <f t="shared" si="2"/>
        <v>0</v>
      </c>
      <c r="K14" s="631">
        <f t="shared" si="2"/>
        <v>0</v>
      </c>
      <c r="L14" s="634">
        <f>[1]Субсидия_факт!EB13</f>
        <v>0</v>
      </c>
      <c r="M14" s="635"/>
      <c r="N14" s="636">
        <f>[1]Субсидия_факт!LH13</f>
        <v>0</v>
      </c>
      <c r="O14" s="637"/>
      <c r="P14" s="631">
        <f t="shared" si="3"/>
        <v>0</v>
      </c>
      <c r="Q14" s="631">
        <f t="shared" si="3"/>
        <v>0</v>
      </c>
      <c r="R14" s="634">
        <f t="shared" si="25"/>
        <v>0</v>
      </c>
      <c r="S14" s="634">
        <f t="shared" si="25"/>
        <v>0</v>
      </c>
      <c r="T14" s="632">
        <f>[1]Субсидия_факт!MN13</f>
        <v>0</v>
      </c>
      <c r="U14" s="638"/>
      <c r="V14" s="631">
        <f t="shared" si="5"/>
        <v>0</v>
      </c>
      <c r="W14" s="631">
        <f t="shared" si="5"/>
        <v>0</v>
      </c>
      <c r="X14" s="634">
        <f>[1]Субсидия_факт!MP13</f>
        <v>0</v>
      </c>
      <c r="Y14" s="635"/>
      <c r="Z14" s="632">
        <f>[1]Субсидия_факт!MZ13</f>
        <v>0</v>
      </c>
      <c r="AA14" s="638"/>
      <c r="AB14" s="631">
        <f t="shared" si="6"/>
        <v>0</v>
      </c>
      <c r="AC14" s="631">
        <f t="shared" si="6"/>
        <v>0</v>
      </c>
      <c r="AD14" s="634">
        <f>[1]Субсидия_факт!NB13</f>
        <v>0</v>
      </c>
      <c r="AE14" s="635"/>
      <c r="AF14" s="632">
        <f>[1]Субсидия_факт!NF13</f>
        <v>1632199.98</v>
      </c>
      <c r="AG14" s="638"/>
      <c r="AH14" s="631">
        <f t="shared" si="7"/>
        <v>1632199.98</v>
      </c>
      <c r="AI14" s="631">
        <f t="shared" si="7"/>
        <v>0</v>
      </c>
      <c r="AJ14" s="634">
        <f>[1]Субсидия_факт!NH13</f>
        <v>0</v>
      </c>
      <c r="AK14" s="635"/>
      <c r="AL14" s="632">
        <f>[1]Субсидия_факт!NN13</f>
        <v>1473574.35</v>
      </c>
      <c r="AM14" s="638"/>
      <c r="AN14" s="631">
        <f t="shared" si="8"/>
        <v>-132625.56999999983</v>
      </c>
      <c r="AO14" s="631">
        <f t="shared" si="8"/>
        <v>0</v>
      </c>
      <c r="AP14" s="634">
        <f>[1]Субсидия_факт!NP13</f>
        <v>1606199.92</v>
      </c>
      <c r="AQ14" s="635"/>
      <c r="AR14" s="632">
        <f>[1]Субсидия_факт!NT13</f>
        <v>0</v>
      </c>
      <c r="AS14" s="633"/>
      <c r="AT14" s="631">
        <f t="shared" si="9"/>
        <v>0</v>
      </c>
      <c r="AU14" s="631">
        <f t="shared" si="9"/>
        <v>0</v>
      </c>
      <c r="AV14" s="634">
        <f>[1]Субсидия_факт!NV13</f>
        <v>0</v>
      </c>
      <c r="AW14" s="635"/>
      <c r="AX14" s="632">
        <f>[1]Субсидия_факт!OY13</f>
        <v>423386.08000000007</v>
      </c>
      <c r="AY14" s="633">
        <f>AZ14-'Прочая  субсидия_МР  и  ГО'!BC14</f>
        <v>152206.00999999998</v>
      </c>
      <c r="AZ14" s="668">
        <v>284901.05</v>
      </c>
      <c r="BA14" s="631">
        <f t="shared" si="10"/>
        <v>423386.08000000007</v>
      </c>
      <c r="BB14" s="631">
        <f t="shared" si="10"/>
        <v>152206.00999999998</v>
      </c>
      <c r="BC14" s="634">
        <f>[1]Субсидия_факт!PA13</f>
        <v>0</v>
      </c>
      <c r="BD14" s="635"/>
      <c r="BE14" s="632">
        <f>[1]Субсидия_факт!PG13</f>
        <v>0</v>
      </c>
      <c r="BF14" s="638"/>
      <c r="BG14" s="631">
        <f t="shared" si="11"/>
        <v>0</v>
      </c>
      <c r="BH14" s="631">
        <f t="shared" si="11"/>
        <v>0</v>
      </c>
      <c r="BI14" s="634">
        <f>[1]Субсидия_факт!PI13</f>
        <v>0</v>
      </c>
      <c r="BJ14" s="635"/>
      <c r="BK14" s="632">
        <f>[1]Субсидия_факт!PY13</f>
        <v>0</v>
      </c>
      <c r="BL14" s="638"/>
      <c r="BM14" s="631">
        <f t="shared" si="12"/>
        <v>0</v>
      </c>
      <c r="BN14" s="631">
        <f t="shared" si="12"/>
        <v>0</v>
      </c>
      <c r="BO14" s="634">
        <f>[1]Субсидия_факт!QA13</f>
        <v>0</v>
      </c>
      <c r="BP14" s="635"/>
    </row>
    <row r="15" spans="1:68" s="639" customFormat="1" ht="21" customHeight="1" x14ac:dyDescent="0.25">
      <c r="A15" s="640" t="s">
        <v>1308</v>
      </c>
      <c r="B15" s="641">
        <f t="shared" si="23"/>
        <v>3362709.0199999996</v>
      </c>
      <c r="C15" s="641">
        <f t="shared" si="23"/>
        <v>53059.669999999984</v>
      </c>
      <c r="D15" s="631">
        <f t="shared" si="24"/>
        <v>2537559.7699999996</v>
      </c>
      <c r="E15" s="631">
        <f t="shared" si="24"/>
        <v>53059.669999999984</v>
      </c>
      <c r="F15" s="631">
        <f t="shared" si="24"/>
        <v>825149.25</v>
      </c>
      <c r="G15" s="631">
        <f t="shared" si="24"/>
        <v>0</v>
      </c>
      <c r="H15" s="632">
        <f>[1]Субсидия_факт!DZ15</f>
        <v>0</v>
      </c>
      <c r="I15" s="633"/>
      <c r="J15" s="631">
        <f t="shared" si="2"/>
        <v>0</v>
      </c>
      <c r="K15" s="631">
        <f t="shared" si="2"/>
        <v>0</v>
      </c>
      <c r="L15" s="634">
        <f>[1]Субсидия_факт!EB15</f>
        <v>0</v>
      </c>
      <c r="M15" s="635"/>
      <c r="N15" s="636">
        <f>[1]Субсидия_факт!LH15</f>
        <v>0</v>
      </c>
      <c r="O15" s="637"/>
      <c r="P15" s="631">
        <f t="shared" si="3"/>
        <v>0</v>
      </c>
      <c r="Q15" s="631">
        <f t="shared" si="3"/>
        <v>0</v>
      </c>
      <c r="R15" s="634">
        <f t="shared" si="25"/>
        <v>0</v>
      </c>
      <c r="S15" s="634">
        <f t="shared" si="25"/>
        <v>0</v>
      </c>
      <c r="T15" s="632">
        <f>[1]Субсидия_факт!MN15</f>
        <v>0</v>
      </c>
      <c r="U15" s="638"/>
      <c r="V15" s="631">
        <f t="shared" si="5"/>
        <v>0</v>
      </c>
      <c r="W15" s="631">
        <f t="shared" si="5"/>
        <v>0</v>
      </c>
      <c r="X15" s="634">
        <f>[1]Субсидия_факт!MP15</f>
        <v>0</v>
      </c>
      <c r="Y15" s="635"/>
      <c r="Z15" s="632">
        <f>[1]Субсидия_факт!MZ15</f>
        <v>0</v>
      </c>
      <c r="AA15" s="638"/>
      <c r="AB15" s="631">
        <f t="shared" si="6"/>
        <v>0</v>
      </c>
      <c r="AC15" s="631">
        <f t="shared" si="6"/>
        <v>0</v>
      </c>
      <c r="AD15" s="634">
        <f>[1]Субсидия_факт!NB15</f>
        <v>0</v>
      </c>
      <c r="AE15" s="635"/>
      <c r="AF15" s="632">
        <f>[1]Субсидия_факт!NF15</f>
        <v>0</v>
      </c>
      <c r="AG15" s="638"/>
      <c r="AH15" s="631">
        <f t="shared" si="7"/>
        <v>0</v>
      </c>
      <c r="AI15" s="631">
        <f t="shared" si="7"/>
        <v>0</v>
      </c>
      <c r="AJ15" s="634">
        <f>[1]Субсидия_факт!NH15</f>
        <v>0</v>
      </c>
      <c r="AK15" s="635"/>
      <c r="AL15" s="632">
        <f>[1]Субсидия_факт!NN15</f>
        <v>2799964.8</v>
      </c>
      <c r="AM15" s="638"/>
      <c r="AN15" s="631">
        <f t="shared" si="8"/>
        <v>2085336.9899999998</v>
      </c>
      <c r="AO15" s="631">
        <f t="shared" si="8"/>
        <v>0</v>
      </c>
      <c r="AP15" s="634">
        <f>[1]Субсидия_факт!NP15</f>
        <v>714627.81</v>
      </c>
      <c r="AQ15" s="635"/>
      <c r="AR15" s="632">
        <f>[1]Субсидия_факт!NT15</f>
        <v>0</v>
      </c>
      <c r="AS15" s="633"/>
      <c r="AT15" s="631">
        <f t="shared" si="9"/>
        <v>0</v>
      </c>
      <c r="AU15" s="631">
        <f t="shared" si="9"/>
        <v>0</v>
      </c>
      <c r="AV15" s="634">
        <f>[1]Субсидия_факт!NV15</f>
        <v>0</v>
      </c>
      <c r="AW15" s="635"/>
      <c r="AX15" s="632">
        <f>[1]Субсидия_факт!OY15</f>
        <v>249832.9</v>
      </c>
      <c r="AY15" s="633">
        <f>AZ15-'Прочая  субсидия_МР  и  ГО'!BC15</f>
        <v>53059.669999999984</v>
      </c>
      <c r="AZ15" s="668">
        <v>161062.99</v>
      </c>
      <c r="BA15" s="631">
        <f t="shared" si="10"/>
        <v>139311.46</v>
      </c>
      <c r="BB15" s="631">
        <f t="shared" si="10"/>
        <v>53059.669999999984</v>
      </c>
      <c r="BC15" s="634">
        <f>[1]Субсидия_факт!PA15</f>
        <v>110521.44</v>
      </c>
      <c r="BD15" s="635"/>
      <c r="BE15" s="632">
        <f>[1]Субсидия_факт!PG15</f>
        <v>312911.32</v>
      </c>
      <c r="BF15" s="638"/>
      <c r="BG15" s="631">
        <f t="shared" si="11"/>
        <v>312911.32</v>
      </c>
      <c r="BH15" s="631">
        <f t="shared" si="11"/>
        <v>0</v>
      </c>
      <c r="BI15" s="634">
        <f>[1]Субсидия_факт!PI15</f>
        <v>0</v>
      </c>
      <c r="BJ15" s="635"/>
      <c r="BK15" s="632">
        <f>[1]Субсидия_факт!PY15</f>
        <v>0</v>
      </c>
      <c r="BL15" s="638"/>
      <c r="BM15" s="631">
        <f t="shared" si="12"/>
        <v>0</v>
      </c>
      <c r="BN15" s="631">
        <f t="shared" si="12"/>
        <v>0</v>
      </c>
      <c r="BO15" s="634">
        <f>[1]Субсидия_факт!QA15</f>
        <v>0</v>
      </c>
      <c r="BP15" s="635"/>
    </row>
    <row r="16" spans="1:68" s="639" customFormat="1" ht="21" customHeight="1" x14ac:dyDescent="0.25">
      <c r="A16" s="640" t="s">
        <v>1309</v>
      </c>
      <c r="B16" s="641">
        <f t="shared" si="23"/>
        <v>2010475.6</v>
      </c>
      <c r="C16" s="641">
        <f t="shared" si="23"/>
        <v>311191.39</v>
      </c>
      <c r="D16" s="631">
        <f t="shared" si="24"/>
        <v>291233.49</v>
      </c>
      <c r="E16" s="631">
        <f t="shared" si="24"/>
        <v>311191.39</v>
      </c>
      <c r="F16" s="631">
        <f t="shared" si="24"/>
        <v>1719242.1099999999</v>
      </c>
      <c r="G16" s="631">
        <f t="shared" si="24"/>
        <v>0</v>
      </c>
      <c r="H16" s="632">
        <f>[1]Субсидия_факт!DZ16</f>
        <v>0</v>
      </c>
      <c r="I16" s="633"/>
      <c r="J16" s="631">
        <f t="shared" si="2"/>
        <v>0</v>
      </c>
      <c r="K16" s="631">
        <f t="shared" si="2"/>
        <v>0</v>
      </c>
      <c r="L16" s="634">
        <f>[1]Субсидия_факт!EB16</f>
        <v>0</v>
      </c>
      <c r="M16" s="635"/>
      <c r="N16" s="636">
        <f>[1]Субсидия_факт!LH16</f>
        <v>0</v>
      </c>
      <c r="O16" s="637"/>
      <c r="P16" s="631">
        <f t="shared" si="3"/>
        <v>0</v>
      </c>
      <c r="Q16" s="631">
        <f t="shared" si="3"/>
        <v>0</v>
      </c>
      <c r="R16" s="634">
        <f t="shared" si="25"/>
        <v>0</v>
      </c>
      <c r="S16" s="634">
        <f t="shared" si="25"/>
        <v>0</v>
      </c>
      <c r="T16" s="632">
        <f>[1]Субсидия_факт!MN16</f>
        <v>0</v>
      </c>
      <c r="U16" s="638"/>
      <c r="V16" s="631">
        <f t="shared" si="5"/>
        <v>0</v>
      </c>
      <c r="W16" s="631">
        <f t="shared" si="5"/>
        <v>0</v>
      </c>
      <c r="X16" s="634">
        <f>[1]Субсидия_факт!MP16</f>
        <v>0</v>
      </c>
      <c r="Y16" s="635"/>
      <c r="Z16" s="632">
        <f>[1]Субсидия_факт!MZ16</f>
        <v>0</v>
      </c>
      <c r="AA16" s="638"/>
      <c r="AB16" s="631">
        <f t="shared" si="6"/>
        <v>0</v>
      </c>
      <c r="AC16" s="631">
        <f t="shared" si="6"/>
        <v>0</v>
      </c>
      <c r="AD16" s="634">
        <f>[1]Субсидия_факт!NB16</f>
        <v>0</v>
      </c>
      <c r="AE16" s="635"/>
      <c r="AF16" s="632">
        <f>[1]Субсидия_факт!NF16</f>
        <v>0</v>
      </c>
      <c r="AG16" s="638"/>
      <c r="AH16" s="631">
        <f t="shared" si="7"/>
        <v>0</v>
      </c>
      <c r="AI16" s="631">
        <f t="shared" si="7"/>
        <v>0</v>
      </c>
      <c r="AJ16" s="634">
        <f>[1]Субсидия_факт!NH16</f>
        <v>0</v>
      </c>
      <c r="AK16" s="635"/>
      <c r="AL16" s="632">
        <f>[1]Субсидия_факт!NN16</f>
        <v>923239.44</v>
      </c>
      <c r="AM16" s="638"/>
      <c r="AN16" s="631">
        <f t="shared" si="8"/>
        <v>-595420.58000000007</v>
      </c>
      <c r="AO16" s="631">
        <f t="shared" si="8"/>
        <v>0</v>
      </c>
      <c r="AP16" s="634">
        <f>[1]Субсидия_факт!NP16</f>
        <v>1518660.02</v>
      </c>
      <c r="AQ16" s="635"/>
      <c r="AR16" s="632">
        <f>[1]Субсидия_факт!NT16</f>
        <v>0</v>
      </c>
      <c r="AS16" s="633"/>
      <c r="AT16" s="631">
        <f t="shared" si="9"/>
        <v>0</v>
      </c>
      <c r="AU16" s="631">
        <f t="shared" si="9"/>
        <v>0</v>
      </c>
      <c r="AV16" s="634">
        <f>[1]Субсидия_факт!NV16</f>
        <v>0</v>
      </c>
      <c r="AW16" s="635"/>
      <c r="AX16" s="632">
        <f>[1]Субсидия_факт!OY16</f>
        <v>519342.66000000003</v>
      </c>
      <c r="AY16" s="633">
        <f>AZ16-'Прочая  субсидия_МР  и  ГО'!BC16</f>
        <v>311191.39</v>
      </c>
      <c r="AZ16" s="1034">
        <v>460880.43</v>
      </c>
      <c r="BA16" s="631">
        <f t="shared" si="10"/>
        <v>318760.57000000007</v>
      </c>
      <c r="BB16" s="631">
        <f t="shared" si="10"/>
        <v>311191.39</v>
      </c>
      <c r="BC16" s="634">
        <f>[1]Субсидия_факт!PA16</f>
        <v>200582.08999999997</v>
      </c>
      <c r="BD16" s="635"/>
      <c r="BE16" s="632">
        <f>[1]Субсидия_факт!PG16</f>
        <v>567893.5</v>
      </c>
      <c r="BF16" s="638"/>
      <c r="BG16" s="631">
        <f t="shared" si="11"/>
        <v>567893.5</v>
      </c>
      <c r="BH16" s="631">
        <f t="shared" si="11"/>
        <v>0</v>
      </c>
      <c r="BI16" s="634">
        <f>[1]Субсидия_факт!PI16</f>
        <v>0</v>
      </c>
      <c r="BJ16" s="635"/>
      <c r="BK16" s="632">
        <f>[1]Субсидия_факт!PY16</f>
        <v>0</v>
      </c>
      <c r="BL16" s="638"/>
      <c r="BM16" s="631">
        <f t="shared" si="12"/>
        <v>0</v>
      </c>
      <c r="BN16" s="631">
        <f t="shared" si="12"/>
        <v>0</v>
      </c>
      <c r="BO16" s="634">
        <f>[1]Субсидия_факт!QA16</f>
        <v>0</v>
      </c>
      <c r="BP16" s="635"/>
    </row>
    <row r="17" spans="1:68" s="639" customFormat="1" ht="21" customHeight="1" x14ac:dyDescent="0.25">
      <c r="A17" s="640" t="s">
        <v>1310</v>
      </c>
      <c r="B17" s="641">
        <f t="shared" si="23"/>
        <v>7895821.5999999978</v>
      </c>
      <c r="C17" s="641">
        <f t="shared" si="23"/>
        <v>98109.909999999989</v>
      </c>
      <c r="D17" s="631">
        <f t="shared" si="24"/>
        <v>2021722.2399999998</v>
      </c>
      <c r="E17" s="631">
        <f t="shared" si="24"/>
        <v>76580.319999999992</v>
      </c>
      <c r="F17" s="631">
        <f t="shared" si="24"/>
        <v>5874099.3599999975</v>
      </c>
      <c r="G17" s="631">
        <f t="shared" si="24"/>
        <v>21529.59</v>
      </c>
      <c r="H17" s="632">
        <f>[1]Субсидия_факт!DZ17</f>
        <v>0</v>
      </c>
      <c r="I17" s="633"/>
      <c r="J17" s="631">
        <f t="shared" si="2"/>
        <v>0</v>
      </c>
      <c r="K17" s="631">
        <f t="shared" si="2"/>
        <v>0</v>
      </c>
      <c r="L17" s="634">
        <f>[1]Субсидия_факт!EB17</f>
        <v>0</v>
      </c>
      <c r="M17" s="635"/>
      <c r="N17" s="636">
        <f>[1]Субсидия_факт!LH17</f>
        <v>4638166.1499999976</v>
      </c>
      <c r="O17" s="637"/>
      <c r="P17" s="631">
        <f t="shared" si="3"/>
        <v>0</v>
      </c>
      <c r="Q17" s="631">
        <f t="shared" si="3"/>
        <v>0</v>
      </c>
      <c r="R17" s="634">
        <f t="shared" si="25"/>
        <v>4638166.1499999976</v>
      </c>
      <c r="S17" s="634">
        <f t="shared" si="25"/>
        <v>0</v>
      </c>
      <c r="T17" s="632">
        <f>[1]Субсидия_факт!MN17</f>
        <v>0</v>
      </c>
      <c r="U17" s="638"/>
      <c r="V17" s="631">
        <f t="shared" si="5"/>
        <v>0</v>
      </c>
      <c r="W17" s="631">
        <f t="shared" si="5"/>
        <v>0</v>
      </c>
      <c r="X17" s="634">
        <f>[1]Субсидия_факт!MP17</f>
        <v>0</v>
      </c>
      <c r="Y17" s="635"/>
      <c r="Z17" s="632">
        <f>[1]Субсидия_факт!MZ17</f>
        <v>0</v>
      </c>
      <c r="AA17" s="638"/>
      <c r="AB17" s="631">
        <f t="shared" si="6"/>
        <v>0</v>
      </c>
      <c r="AC17" s="631">
        <f t="shared" si="6"/>
        <v>0</v>
      </c>
      <c r="AD17" s="634">
        <f>[1]Субсидия_факт!NB17</f>
        <v>0</v>
      </c>
      <c r="AE17" s="635"/>
      <c r="AF17" s="632">
        <f>[1]Субсидия_факт!NF17</f>
        <v>0</v>
      </c>
      <c r="AG17" s="638"/>
      <c r="AH17" s="631">
        <f t="shared" si="7"/>
        <v>0</v>
      </c>
      <c r="AI17" s="631">
        <f t="shared" si="7"/>
        <v>0</v>
      </c>
      <c r="AJ17" s="634">
        <f>[1]Субсидия_факт!NH17</f>
        <v>0</v>
      </c>
      <c r="AK17" s="635"/>
      <c r="AL17" s="632">
        <f>[1]Субсидия_факт!NN17</f>
        <v>2955706.69</v>
      </c>
      <c r="AM17" s="638"/>
      <c r="AN17" s="631">
        <f t="shared" si="8"/>
        <v>1785113.6199999999</v>
      </c>
      <c r="AO17" s="631">
        <f t="shared" si="8"/>
        <v>0</v>
      </c>
      <c r="AP17" s="634">
        <f>[1]Субсидия_факт!NP17</f>
        <v>1170593.07</v>
      </c>
      <c r="AQ17" s="635"/>
      <c r="AR17" s="632">
        <f>[1]Субсидия_факт!NT17</f>
        <v>0</v>
      </c>
      <c r="AS17" s="633"/>
      <c r="AT17" s="631">
        <f t="shared" si="9"/>
        <v>0</v>
      </c>
      <c r="AU17" s="631">
        <f t="shared" si="9"/>
        <v>0</v>
      </c>
      <c r="AV17" s="634">
        <f>[1]Субсидия_факт!NV17</f>
        <v>0</v>
      </c>
      <c r="AW17" s="635"/>
      <c r="AX17" s="632">
        <f>[1]Субсидия_факт!OY17</f>
        <v>301948.76</v>
      </c>
      <c r="AY17" s="633">
        <f>AZ17-'Прочая  субсидия_МР  и  ГО'!BC17</f>
        <v>98109.909999999989</v>
      </c>
      <c r="AZ17" s="668">
        <v>105373.79</v>
      </c>
      <c r="BA17" s="631">
        <f t="shared" si="10"/>
        <v>236608.62</v>
      </c>
      <c r="BB17" s="631">
        <f t="shared" si="10"/>
        <v>76580.319999999992</v>
      </c>
      <c r="BC17" s="634">
        <f>[1]Субсидия_факт!PA17</f>
        <v>65340.14</v>
      </c>
      <c r="BD17" s="635">
        <v>21529.59</v>
      </c>
      <c r="BE17" s="632">
        <f>[1]Субсидия_факт!PG17</f>
        <v>0</v>
      </c>
      <c r="BF17" s="638"/>
      <c r="BG17" s="631">
        <f t="shared" si="11"/>
        <v>0</v>
      </c>
      <c r="BH17" s="631">
        <f t="shared" si="11"/>
        <v>0</v>
      </c>
      <c r="BI17" s="634">
        <f>[1]Субсидия_факт!PI17</f>
        <v>0</v>
      </c>
      <c r="BJ17" s="635"/>
      <c r="BK17" s="632">
        <f>[1]Субсидия_факт!PY17</f>
        <v>0</v>
      </c>
      <c r="BL17" s="638"/>
      <c r="BM17" s="631">
        <f t="shared" si="12"/>
        <v>0</v>
      </c>
      <c r="BN17" s="631">
        <f t="shared" si="12"/>
        <v>0</v>
      </c>
      <c r="BO17" s="634">
        <f>[1]Субсидия_факт!QA17</f>
        <v>0</v>
      </c>
      <c r="BP17" s="635"/>
    </row>
    <row r="18" spans="1:68" s="639" customFormat="1" ht="21" customHeight="1" x14ac:dyDescent="0.25">
      <c r="A18" s="640" t="s">
        <v>1311</v>
      </c>
      <c r="B18" s="641">
        <f t="shared" si="23"/>
        <v>1631438.09</v>
      </c>
      <c r="C18" s="641">
        <f t="shared" si="23"/>
        <v>107386.98999999999</v>
      </c>
      <c r="D18" s="631">
        <f t="shared" si="24"/>
        <v>1462286.4300000002</v>
      </c>
      <c r="E18" s="631">
        <f t="shared" si="24"/>
        <v>107386.98999999999</v>
      </c>
      <c r="F18" s="631">
        <f t="shared" si="24"/>
        <v>169151.66</v>
      </c>
      <c r="G18" s="631">
        <f t="shared" si="24"/>
        <v>0</v>
      </c>
      <c r="H18" s="632">
        <f>[1]Субсидия_факт!DZ19</f>
        <v>0</v>
      </c>
      <c r="I18" s="633"/>
      <c r="J18" s="631">
        <f t="shared" si="2"/>
        <v>0</v>
      </c>
      <c r="K18" s="631">
        <f t="shared" si="2"/>
        <v>0</v>
      </c>
      <c r="L18" s="634">
        <f>[1]Субсидия_факт!EB19</f>
        <v>0</v>
      </c>
      <c r="M18" s="635"/>
      <c r="N18" s="636">
        <f>[1]Субсидия_факт!LH19</f>
        <v>0</v>
      </c>
      <c r="O18" s="637"/>
      <c r="P18" s="631">
        <f t="shared" si="3"/>
        <v>0</v>
      </c>
      <c r="Q18" s="631">
        <f t="shared" si="3"/>
        <v>0</v>
      </c>
      <c r="R18" s="634">
        <f t="shared" si="25"/>
        <v>0</v>
      </c>
      <c r="S18" s="634">
        <f t="shared" si="25"/>
        <v>0</v>
      </c>
      <c r="T18" s="632">
        <f>[1]Субсидия_факт!MN19</f>
        <v>0</v>
      </c>
      <c r="U18" s="638"/>
      <c r="V18" s="631">
        <f t="shared" si="5"/>
        <v>0</v>
      </c>
      <c r="W18" s="631">
        <f t="shared" si="5"/>
        <v>0</v>
      </c>
      <c r="X18" s="634">
        <f>[1]Субсидия_факт!MP19</f>
        <v>0</v>
      </c>
      <c r="Y18" s="635"/>
      <c r="Z18" s="632">
        <f>[1]Субсидия_факт!MZ19</f>
        <v>0</v>
      </c>
      <c r="AA18" s="638"/>
      <c r="AB18" s="631">
        <f t="shared" si="6"/>
        <v>0</v>
      </c>
      <c r="AC18" s="631">
        <f t="shared" si="6"/>
        <v>0</v>
      </c>
      <c r="AD18" s="634">
        <f>[1]Субсидия_факт!NB19</f>
        <v>0</v>
      </c>
      <c r="AE18" s="635"/>
      <c r="AF18" s="632">
        <f>[1]Субсидия_факт!NF19</f>
        <v>1048798.08</v>
      </c>
      <c r="AG18" s="638"/>
      <c r="AH18" s="631">
        <f t="shared" si="7"/>
        <v>1048798.08</v>
      </c>
      <c r="AI18" s="631">
        <f t="shared" si="7"/>
        <v>0</v>
      </c>
      <c r="AJ18" s="634">
        <f>[1]Субсидия_факт!NH19</f>
        <v>0</v>
      </c>
      <c r="AK18" s="635"/>
      <c r="AL18" s="632">
        <f>[1]Субсидия_факт!NN19</f>
        <v>367913.7</v>
      </c>
      <c r="AM18" s="638"/>
      <c r="AN18" s="631">
        <f t="shared" si="8"/>
        <v>198762.04</v>
      </c>
      <c r="AO18" s="631">
        <f t="shared" si="8"/>
        <v>0</v>
      </c>
      <c r="AP18" s="634">
        <f>[1]Субсидия_факт!NP19</f>
        <v>169151.66</v>
      </c>
      <c r="AQ18" s="635"/>
      <c r="AR18" s="632">
        <f>[1]Субсидия_факт!NT19</f>
        <v>0</v>
      </c>
      <c r="AS18" s="633"/>
      <c r="AT18" s="631">
        <f t="shared" si="9"/>
        <v>0</v>
      </c>
      <c r="AU18" s="631">
        <f t="shared" si="9"/>
        <v>0</v>
      </c>
      <c r="AV18" s="634">
        <f>[1]Субсидия_факт!NV19</f>
        <v>0</v>
      </c>
      <c r="AW18" s="635"/>
      <c r="AX18" s="632">
        <f>[1]Субсидия_факт!OY19</f>
        <v>214726.30999999997</v>
      </c>
      <c r="AY18" s="633">
        <f>AZ18-'Прочая  субсидия_МР  и  ГО'!BC18</f>
        <v>107386.98999999999</v>
      </c>
      <c r="AZ18" s="668">
        <v>268883.59999999998</v>
      </c>
      <c r="BA18" s="631">
        <f t="shared" si="10"/>
        <v>214726.30999999997</v>
      </c>
      <c r="BB18" s="631">
        <f t="shared" si="10"/>
        <v>107386.98999999999</v>
      </c>
      <c r="BC18" s="634">
        <f>[1]Субсидия_факт!PA19</f>
        <v>0</v>
      </c>
      <c r="BD18" s="635"/>
      <c r="BE18" s="632">
        <f>[1]Субсидия_факт!PG19</f>
        <v>0</v>
      </c>
      <c r="BF18" s="638"/>
      <c r="BG18" s="631">
        <f t="shared" si="11"/>
        <v>0</v>
      </c>
      <c r="BH18" s="631">
        <f t="shared" si="11"/>
        <v>0</v>
      </c>
      <c r="BI18" s="634">
        <f>[1]Субсидия_факт!PI19</f>
        <v>0</v>
      </c>
      <c r="BJ18" s="635"/>
      <c r="BK18" s="632">
        <f>[1]Субсидия_факт!PY19</f>
        <v>0</v>
      </c>
      <c r="BL18" s="638"/>
      <c r="BM18" s="631">
        <f t="shared" si="12"/>
        <v>0</v>
      </c>
      <c r="BN18" s="631">
        <f t="shared" si="12"/>
        <v>0</v>
      </c>
      <c r="BO18" s="634">
        <f>[1]Субсидия_факт!QA19</f>
        <v>0</v>
      </c>
      <c r="BP18" s="635"/>
    </row>
    <row r="19" spans="1:68" s="639" customFormat="1" ht="21" customHeight="1" x14ac:dyDescent="0.25">
      <c r="A19" s="640" t="s">
        <v>1312</v>
      </c>
      <c r="B19" s="641">
        <f t="shared" si="23"/>
        <v>28643380.770000003</v>
      </c>
      <c r="C19" s="641">
        <f t="shared" si="23"/>
        <v>9219418.7400000002</v>
      </c>
      <c r="D19" s="631">
        <f t="shared" si="24"/>
        <v>-181568.72999999992</v>
      </c>
      <c r="E19" s="631">
        <f t="shared" si="24"/>
        <v>114291.81000000001</v>
      </c>
      <c r="F19" s="631">
        <f t="shared" si="24"/>
        <v>28824949.5</v>
      </c>
      <c r="G19" s="631">
        <f t="shared" si="24"/>
        <v>9105126.9299999997</v>
      </c>
      <c r="H19" s="632">
        <f>[1]Субсидия_факт!DZ20</f>
        <v>6956.5199999999977</v>
      </c>
      <c r="I19" s="633">
        <f>H19</f>
        <v>6956.5199999999977</v>
      </c>
      <c r="J19" s="631">
        <f t="shared" si="2"/>
        <v>0</v>
      </c>
      <c r="K19" s="631">
        <f t="shared" si="2"/>
        <v>0</v>
      </c>
      <c r="L19" s="634">
        <f>[1]Субсидия_факт!EB20</f>
        <v>6956.5199999999977</v>
      </c>
      <c r="M19" s="635">
        <f>I19</f>
        <v>6956.5199999999977</v>
      </c>
      <c r="N19" s="636">
        <f>[1]Субсидия_факт!LH20</f>
        <v>8910961.3400000017</v>
      </c>
      <c r="O19" s="637">
        <v>8126793.8099999996</v>
      </c>
      <c r="P19" s="631">
        <f t="shared" si="3"/>
        <v>0</v>
      </c>
      <c r="Q19" s="631">
        <f t="shared" si="3"/>
        <v>0</v>
      </c>
      <c r="R19" s="634">
        <f t="shared" si="25"/>
        <v>8910961.3400000017</v>
      </c>
      <c r="S19" s="634">
        <f t="shared" si="25"/>
        <v>8126793.8099999996</v>
      </c>
      <c r="T19" s="632">
        <f>[1]Субсидия_факт!MN20</f>
        <v>0</v>
      </c>
      <c r="U19" s="638"/>
      <c r="V19" s="631">
        <f t="shared" si="5"/>
        <v>0</v>
      </c>
      <c r="W19" s="631">
        <f t="shared" si="5"/>
        <v>0</v>
      </c>
      <c r="X19" s="634">
        <f>[1]Субсидия_факт!MP20</f>
        <v>0</v>
      </c>
      <c r="Y19" s="635"/>
      <c r="Z19" s="632">
        <f>[1]Субсидия_факт!MZ20</f>
        <v>0</v>
      </c>
      <c r="AA19" s="638"/>
      <c r="AB19" s="631">
        <f t="shared" si="6"/>
        <v>0</v>
      </c>
      <c r="AC19" s="631">
        <f t="shared" si="6"/>
        <v>0</v>
      </c>
      <c r="AD19" s="634">
        <f>[1]Субсидия_факт!NB20</f>
        <v>0</v>
      </c>
      <c r="AE19" s="635"/>
      <c r="AF19" s="632">
        <f>[1]Субсидия_факт!NF20</f>
        <v>18024576.300000001</v>
      </c>
      <c r="AG19" s="638"/>
      <c r="AH19" s="631">
        <f t="shared" si="7"/>
        <v>0</v>
      </c>
      <c r="AI19" s="631">
        <f t="shared" si="7"/>
        <v>0</v>
      </c>
      <c r="AJ19" s="634">
        <f>[1]Субсидия_факт!NH20</f>
        <v>18024576.300000001</v>
      </c>
      <c r="AK19" s="635"/>
      <c r="AL19" s="632">
        <f>[1]Субсидия_факт!NN20</f>
        <v>206798.53</v>
      </c>
      <c r="AM19" s="638"/>
      <c r="AN19" s="631">
        <f t="shared" si="8"/>
        <v>-597692.53999999992</v>
      </c>
      <c r="AO19" s="631">
        <f t="shared" si="8"/>
        <v>0</v>
      </c>
      <c r="AP19" s="634">
        <f>[1]Субсидия_факт!NP20</f>
        <v>804491.07</v>
      </c>
      <c r="AQ19" s="635"/>
      <c r="AR19" s="632">
        <f>[1]Субсидия_факт!NT20</f>
        <v>1067447.29</v>
      </c>
      <c r="AS19" s="638">
        <v>971376.6</v>
      </c>
      <c r="AT19" s="631">
        <f t="shared" si="9"/>
        <v>0</v>
      </c>
      <c r="AU19" s="631">
        <f t="shared" si="9"/>
        <v>0</v>
      </c>
      <c r="AV19" s="634">
        <f>[1]Субсидия_факт!NV20</f>
        <v>1067447.29</v>
      </c>
      <c r="AW19" s="1118">
        <f>AS19</f>
        <v>971376.6</v>
      </c>
      <c r="AX19" s="632">
        <f>[1]Субсидия_факт!OY20</f>
        <v>426640.79</v>
      </c>
      <c r="AY19" s="633">
        <f>AZ19-'Прочая  субсидия_МР  и  ГО'!BC19</f>
        <v>114291.81000000001</v>
      </c>
      <c r="AZ19" s="668">
        <v>241626.64</v>
      </c>
      <c r="BA19" s="631">
        <f t="shared" si="10"/>
        <v>416123.81</v>
      </c>
      <c r="BB19" s="631">
        <f t="shared" si="10"/>
        <v>114291.81000000001</v>
      </c>
      <c r="BC19" s="634">
        <f>[1]Субсидия_факт!PA20</f>
        <v>10516.98</v>
      </c>
      <c r="BD19" s="635">
        <v>0</v>
      </c>
      <c r="BE19" s="632">
        <f>[1]Субсидия_факт!PG20</f>
        <v>0</v>
      </c>
      <c r="BF19" s="638"/>
      <c r="BG19" s="631">
        <f t="shared" si="11"/>
        <v>0</v>
      </c>
      <c r="BH19" s="631">
        <f t="shared" si="11"/>
        <v>0</v>
      </c>
      <c r="BI19" s="634">
        <f>[1]Субсидия_факт!PI20</f>
        <v>0</v>
      </c>
      <c r="BJ19" s="635"/>
      <c r="BK19" s="632">
        <f>[1]Субсидия_факт!PY20</f>
        <v>0</v>
      </c>
      <c r="BL19" s="638"/>
      <c r="BM19" s="631">
        <f t="shared" si="12"/>
        <v>0</v>
      </c>
      <c r="BN19" s="631">
        <f t="shared" si="12"/>
        <v>0</v>
      </c>
      <c r="BO19" s="634">
        <f>[1]Субсидия_факт!QA20</f>
        <v>0</v>
      </c>
      <c r="BP19" s="635"/>
    </row>
    <row r="20" spans="1:68" s="639" customFormat="1" ht="21" customHeight="1" x14ac:dyDescent="0.25">
      <c r="A20" s="640" t="s">
        <v>1313</v>
      </c>
      <c r="B20" s="641">
        <f t="shared" si="23"/>
        <v>871927.6100000001</v>
      </c>
      <c r="C20" s="641">
        <f t="shared" si="23"/>
        <v>272221.04000000004</v>
      </c>
      <c r="D20" s="631">
        <f t="shared" si="24"/>
        <v>511199.70000000013</v>
      </c>
      <c r="E20" s="631">
        <f t="shared" si="24"/>
        <v>272221.04000000004</v>
      </c>
      <c r="F20" s="631">
        <f t="shared" si="24"/>
        <v>360727.91</v>
      </c>
      <c r="G20" s="631">
        <f t="shared" si="24"/>
        <v>0</v>
      </c>
      <c r="H20" s="632">
        <f>[1]Субсидия_факт!DZ21</f>
        <v>0</v>
      </c>
      <c r="I20" s="633"/>
      <c r="J20" s="631">
        <f t="shared" si="2"/>
        <v>0</v>
      </c>
      <c r="K20" s="631">
        <f t="shared" si="2"/>
        <v>0</v>
      </c>
      <c r="L20" s="634">
        <f>[1]Субсидия_факт!EB21</f>
        <v>0</v>
      </c>
      <c r="M20" s="635"/>
      <c r="N20" s="636">
        <f>[1]Субсидия_факт!LH21</f>
        <v>0</v>
      </c>
      <c r="O20" s="637"/>
      <c r="P20" s="631">
        <f t="shared" si="3"/>
        <v>0</v>
      </c>
      <c r="Q20" s="631">
        <f t="shared" si="3"/>
        <v>0</v>
      </c>
      <c r="R20" s="634">
        <f t="shared" si="25"/>
        <v>0</v>
      </c>
      <c r="S20" s="634">
        <f t="shared" si="25"/>
        <v>0</v>
      </c>
      <c r="T20" s="632">
        <f>[1]Субсидия_факт!MN21</f>
        <v>0</v>
      </c>
      <c r="U20" s="638"/>
      <c r="V20" s="631">
        <f t="shared" si="5"/>
        <v>0</v>
      </c>
      <c r="W20" s="631">
        <f t="shared" si="5"/>
        <v>0</v>
      </c>
      <c r="X20" s="634">
        <f>[1]Субсидия_факт!MP21</f>
        <v>0</v>
      </c>
      <c r="Y20" s="635"/>
      <c r="Z20" s="632">
        <f>[1]Субсидия_факт!MZ21</f>
        <v>0</v>
      </c>
      <c r="AA20" s="638"/>
      <c r="AB20" s="631">
        <f t="shared" si="6"/>
        <v>0</v>
      </c>
      <c r="AC20" s="631">
        <f t="shared" si="6"/>
        <v>0</v>
      </c>
      <c r="AD20" s="634">
        <f>[1]Субсидия_факт!NB21</f>
        <v>0</v>
      </c>
      <c r="AE20" s="635"/>
      <c r="AF20" s="632">
        <f>[1]Субсидия_факт!NF21</f>
        <v>0</v>
      </c>
      <c r="AG20" s="638"/>
      <c r="AH20" s="631">
        <f t="shared" si="7"/>
        <v>0</v>
      </c>
      <c r="AI20" s="631">
        <f t="shared" si="7"/>
        <v>0</v>
      </c>
      <c r="AJ20" s="634">
        <f>[1]Субсидия_факт!NH21</f>
        <v>0</v>
      </c>
      <c r="AK20" s="635"/>
      <c r="AL20" s="632">
        <f>[1]Субсидия_факт!NN21</f>
        <v>460691.94</v>
      </c>
      <c r="AM20" s="638"/>
      <c r="AN20" s="631">
        <f t="shared" si="8"/>
        <v>99964.030000000028</v>
      </c>
      <c r="AO20" s="631">
        <f t="shared" si="8"/>
        <v>0</v>
      </c>
      <c r="AP20" s="634">
        <f>[1]Субсидия_факт!NP21</f>
        <v>360727.91</v>
      </c>
      <c r="AQ20" s="635"/>
      <c r="AR20" s="632">
        <f>[1]Субсидия_факт!NT21</f>
        <v>0</v>
      </c>
      <c r="AS20" s="633"/>
      <c r="AT20" s="631">
        <f t="shared" si="9"/>
        <v>0</v>
      </c>
      <c r="AU20" s="631">
        <f t="shared" si="9"/>
        <v>0</v>
      </c>
      <c r="AV20" s="634">
        <f>[1]Субсидия_факт!NV21</f>
        <v>0</v>
      </c>
      <c r="AW20" s="635"/>
      <c r="AX20" s="632">
        <f>[1]Субсидия_факт!OY21</f>
        <v>411235.6700000001</v>
      </c>
      <c r="AY20" s="633">
        <f>AZ20-'Прочая  субсидия_МР  и  ГО'!BC20</f>
        <v>272221.04000000004</v>
      </c>
      <c r="AZ20" s="668">
        <v>405419.07</v>
      </c>
      <c r="BA20" s="631">
        <f t="shared" si="10"/>
        <v>411235.6700000001</v>
      </c>
      <c r="BB20" s="631">
        <f t="shared" si="10"/>
        <v>272221.04000000004</v>
      </c>
      <c r="BC20" s="634">
        <f>[1]Субсидия_факт!PA21</f>
        <v>0</v>
      </c>
      <c r="BD20" s="635"/>
      <c r="BE20" s="632">
        <f>[1]Субсидия_факт!PG21</f>
        <v>0</v>
      </c>
      <c r="BF20" s="638"/>
      <c r="BG20" s="631">
        <f t="shared" si="11"/>
        <v>0</v>
      </c>
      <c r="BH20" s="631">
        <f t="shared" si="11"/>
        <v>0</v>
      </c>
      <c r="BI20" s="634">
        <f>[1]Субсидия_факт!PI21</f>
        <v>0</v>
      </c>
      <c r="BJ20" s="635"/>
      <c r="BK20" s="632">
        <f>[1]Субсидия_факт!PY21</f>
        <v>0</v>
      </c>
      <c r="BL20" s="638"/>
      <c r="BM20" s="631">
        <f t="shared" si="12"/>
        <v>0</v>
      </c>
      <c r="BN20" s="631">
        <f t="shared" si="12"/>
        <v>0</v>
      </c>
      <c r="BO20" s="634">
        <f>[1]Субсидия_факт!QA21</f>
        <v>0</v>
      </c>
      <c r="BP20" s="635"/>
    </row>
    <row r="21" spans="1:68" s="639" customFormat="1" ht="21" customHeight="1" x14ac:dyDescent="0.25">
      <c r="A21" s="640" t="s">
        <v>1314</v>
      </c>
      <c r="B21" s="641">
        <f t="shared" si="23"/>
        <v>3074849.99</v>
      </c>
      <c r="C21" s="641">
        <f t="shared" si="23"/>
        <v>1714878.9500000002</v>
      </c>
      <c r="D21" s="631">
        <f t="shared" si="24"/>
        <v>3074849.99</v>
      </c>
      <c r="E21" s="631">
        <f t="shared" si="24"/>
        <v>1714878.9500000002</v>
      </c>
      <c r="F21" s="631">
        <f t="shared" si="24"/>
        <v>0</v>
      </c>
      <c r="G21" s="631">
        <f t="shared" si="24"/>
        <v>0</v>
      </c>
      <c r="H21" s="632">
        <f>[1]Субсидия_факт!DZ22</f>
        <v>0</v>
      </c>
      <c r="I21" s="633"/>
      <c r="J21" s="631">
        <f t="shared" si="2"/>
        <v>0</v>
      </c>
      <c r="K21" s="631">
        <f t="shared" si="2"/>
        <v>0</v>
      </c>
      <c r="L21" s="634">
        <f>[1]Субсидия_факт!EB22</f>
        <v>0</v>
      </c>
      <c r="M21" s="635"/>
      <c r="N21" s="636">
        <f>[1]Субсидия_факт!LH22</f>
        <v>0</v>
      </c>
      <c r="O21" s="637"/>
      <c r="P21" s="631">
        <f t="shared" si="3"/>
        <v>0</v>
      </c>
      <c r="Q21" s="631">
        <f t="shared" si="3"/>
        <v>0</v>
      </c>
      <c r="R21" s="634">
        <f t="shared" si="25"/>
        <v>0</v>
      </c>
      <c r="S21" s="634">
        <f t="shared" si="25"/>
        <v>0</v>
      </c>
      <c r="T21" s="632">
        <f>[1]Субсидия_факт!MN22</f>
        <v>0</v>
      </c>
      <c r="U21" s="638"/>
      <c r="V21" s="631">
        <f t="shared" si="5"/>
        <v>0</v>
      </c>
      <c r="W21" s="631">
        <f t="shared" si="5"/>
        <v>0</v>
      </c>
      <c r="X21" s="634">
        <f>[1]Субсидия_факт!MP22</f>
        <v>0</v>
      </c>
      <c r="Y21" s="635"/>
      <c r="Z21" s="632">
        <f>[1]Субсидия_факт!MZ22</f>
        <v>0</v>
      </c>
      <c r="AA21" s="638"/>
      <c r="AB21" s="631">
        <f t="shared" si="6"/>
        <v>0</v>
      </c>
      <c r="AC21" s="631">
        <f t="shared" si="6"/>
        <v>0</v>
      </c>
      <c r="AD21" s="634">
        <f>[1]Субсидия_факт!NB22</f>
        <v>0</v>
      </c>
      <c r="AE21" s="635"/>
      <c r="AF21" s="632">
        <f>[1]Субсидия_факт!NF22</f>
        <v>1433434.45</v>
      </c>
      <c r="AG21" s="638">
        <v>1433431.6</v>
      </c>
      <c r="AH21" s="631">
        <f t="shared" si="7"/>
        <v>1433434.45</v>
      </c>
      <c r="AI21" s="631">
        <f t="shared" si="7"/>
        <v>1433431.6</v>
      </c>
      <c r="AJ21" s="634">
        <f>[1]Субсидия_факт!NH22</f>
        <v>0</v>
      </c>
      <c r="AK21" s="635"/>
      <c r="AL21" s="632">
        <f>[1]Субсидия_факт!NN22</f>
        <v>1106300.49</v>
      </c>
      <c r="AM21" s="638"/>
      <c r="AN21" s="631">
        <f t="shared" si="8"/>
        <v>1106300.49</v>
      </c>
      <c r="AO21" s="631">
        <f t="shared" si="8"/>
        <v>0</v>
      </c>
      <c r="AP21" s="634">
        <f>[1]Субсидия_факт!NP22</f>
        <v>0</v>
      </c>
      <c r="AQ21" s="635"/>
      <c r="AR21" s="632">
        <f>[1]Субсидия_факт!NT22</f>
        <v>0</v>
      </c>
      <c r="AS21" s="633"/>
      <c r="AT21" s="631">
        <f t="shared" si="9"/>
        <v>0</v>
      </c>
      <c r="AU21" s="631">
        <f t="shared" si="9"/>
        <v>0</v>
      </c>
      <c r="AV21" s="634">
        <f>[1]Субсидия_факт!NV22</f>
        <v>0</v>
      </c>
      <c r="AW21" s="635"/>
      <c r="AX21" s="632">
        <f>[1]Субсидия_факт!OY22</f>
        <v>535115.05000000005</v>
      </c>
      <c r="AY21" s="633">
        <f>AZ21-'Прочая  субсидия_МР  и  ГО'!BC21</f>
        <v>281447.34999999998</v>
      </c>
      <c r="AZ21" s="668">
        <v>422497.76</v>
      </c>
      <c r="BA21" s="631">
        <f t="shared" si="10"/>
        <v>535115.05000000005</v>
      </c>
      <c r="BB21" s="631">
        <f t="shared" si="10"/>
        <v>281447.34999999998</v>
      </c>
      <c r="BC21" s="634">
        <f>[1]Субсидия_факт!PA22</f>
        <v>0</v>
      </c>
      <c r="BD21" s="635"/>
      <c r="BE21" s="632">
        <f>[1]Субсидия_факт!PG22</f>
        <v>0</v>
      </c>
      <c r="BF21" s="638"/>
      <c r="BG21" s="631">
        <f t="shared" si="11"/>
        <v>0</v>
      </c>
      <c r="BH21" s="631">
        <f t="shared" si="11"/>
        <v>0</v>
      </c>
      <c r="BI21" s="634">
        <f>[1]Субсидия_факт!PI22</f>
        <v>0</v>
      </c>
      <c r="BJ21" s="635"/>
      <c r="BK21" s="632">
        <f>[1]Субсидия_факт!PY22</f>
        <v>0</v>
      </c>
      <c r="BL21" s="638"/>
      <c r="BM21" s="631">
        <f t="shared" si="12"/>
        <v>0</v>
      </c>
      <c r="BN21" s="631">
        <f t="shared" si="12"/>
        <v>0</v>
      </c>
      <c r="BO21" s="634">
        <f>[1]Субсидия_факт!QA22</f>
        <v>0</v>
      </c>
      <c r="BP21" s="635"/>
    </row>
    <row r="22" spans="1:68" s="639" customFormat="1" ht="21" customHeight="1" x14ac:dyDescent="0.25">
      <c r="A22" s="640" t="s">
        <v>1315</v>
      </c>
      <c r="B22" s="641">
        <f t="shared" si="23"/>
        <v>5113701.41</v>
      </c>
      <c r="C22" s="641">
        <f t="shared" si="23"/>
        <v>92652.280000000013</v>
      </c>
      <c r="D22" s="631">
        <f t="shared" si="24"/>
        <v>4241007.12</v>
      </c>
      <c r="E22" s="631">
        <f t="shared" si="24"/>
        <v>92652.280000000013</v>
      </c>
      <c r="F22" s="631">
        <f t="shared" si="24"/>
        <v>872694.2899999998</v>
      </c>
      <c r="G22" s="631">
        <f t="shared" si="24"/>
        <v>0</v>
      </c>
      <c r="H22" s="632">
        <f>[1]Субсидия_факт!DZ24</f>
        <v>0</v>
      </c>
      <c r="I22" s="633"/>
      <c r="J22" s="631">
        <f t="shared" si="2"/>
        <v>0</v>
      </c>
      <c r="K22" s="631">
        <f t="shared" si="2"/>
        <v>0</v>
      </c>
      <c r="L22" s="634">
        <f>[1]Субсидия_факт!EB24</f>
        <v>0</v>
      </c>
      <c r="M22" s="635"/>
      <c r="N22" s="636">
        <f>[1]Субсидия_факт!LH24</f>
        <v>0</v>
      </c>
      <c r="O22" s="637"/>
      <c r="P22" s="631">
        <f t="shared" si="3"/>
        <v>0</v>
      </c>
      <c r="Q22" s="631">
        <f t="shared" si="3"/>
        <v>0</v>
      </c>
      <c r="R22" s="634">
        <f t="shared" si="25"/>
        <v>0</v>
      </c>
      <c r="S22" s="634">
        <f t="shared" si="25"/>
        <v>0</v>
      </c>
      <c r="T22" s="632">
        <f>[1]Субсидия_факт!MN24</f>
        <v>0</v>
      </c>
      <c r="U22" s="638"/>
      <c r="V22" s="631">
        <f t="shared" si="5"/>
        <v>0</v>
      </c>
      <c r="W22" s="631">
        <f t="shared" si="5"/>
        <v>0</v>
      </c>
      <c r="X22" s="634">
        <f>[1]Субсидия_факт!MP24</f>
        <v>0</v>
      </c>
      <c r="Y22" s="635"/>
      <c r="Z22" s="632">
        <f>[1]Субсидия_факт!MZ24</f>
        <v>0</v>
      </c>
      <c r="AA22" s="638"/>
      <c r="AB22" s="631">
        <f t="shared" si="6"/>
        <v>0</v>
      </c>
      <c r="AC22" s="631">
        <f t="shared" si="6"/>
        <v>0</v>
      </c>
      <c r="AD22" s="634">
        <f>[1]Субсидия_факт!NB24</f>
        <v>0</v>
      </c>
      <c r="AE22" s="635"/>
      <c r="AF22" s="632">
        <f>[1]Субсидия_факт!NF24</f>
        <v>2360830.06</v>
      </c>
      <c r="AG22" s="638"/>
      <c r="AH22" s="631">
        <f t="shared" si="7"/>
        <v>2360830.06</v>
      </c>
      <c r="AI22" s="631">
        <f t="shared" si="7"/>
        <v>0</v>
      </c>
      <c r="AJ22" s="634">
        <f>[1]Субсидия_факт!NH24</f>
        <v>0</v>
      </c>
      <c r="AK22" s="635"/>
      <c r="AL22" s="632">
        <f>[1]Субсидия_факт!NN24</f>
        <v>662244.66</v>
      </c>
      <c r="AM22" s="638"/>
      <c r="AN22" s="631">
        <f t="shared" si="8"/>
        <v>411968.23000000004</v>
      </c>
      <c r="AO22" s="631">
        <f t="shared" si="8"/>
        <v>0</v>
      </c>
      <c r="AP22" s="634">
        <f>[1]Субсидия_факт!NP24</f>
        <v>250276.43</v>
      </c>
      <c r="AQ22" s="635"/>
      <c r="AR22" s="632">
        <f>[1]Субсидия_факт!NT24</f>
        <v>0</v>
      </c>
      <c r="AS22" s="633"/>
      <c r="AT22" s="631">
        <f t="shared" si="9"/>
        <v>0</v>
      </c>
      <c r="AU22" s="631">
        <f t="shared" si="9"/>
        <v>0</v>
      </c>
      <c r="AV22" s="634">
        <f>[1]Субсидия_факт!NV24</f>
        <v>0</v>
      </c>
      <c r="AW22" s="635"/>
      <c r="AX22" s="632">
        <f>[1]Субсидия_факт!OY24</f>
        <v>328420.29000000004</v>
      </c>
      <c r="AY22" s="633">
        <f>AZ22-'Прочая  субсидия_МР  и  ГО'!BC22</f>
        <v>92652.280000000013</v>
      </c>
      <c r="AZ22" s="1038">
        <v>192586.48</v>
      </c>
      <c r="BA22" s="631">
        <f t="shared" si="10"/>
        <v>-293997.56999999983</v>
      </c>
      <c r="BB22" s="631">
        <f t="shared" si="10"/>
        <v>92652.280000000013</v>
      </c>
      <c r="BC22" s="634">
        <f>[1]Субсидия_факт!PA24</f>
        <v>622417.85999999987</v>
      </c>
      <c r="BD22" s="635"/>
      <c r="BE22" s="632">
        <f>[1]Субсидия_факт!PG24</f>
        <v>1762206.4</v>
      </c>
      <c r="BF22" s="638"/>
      <c r="BG22" s="631">
        <f t="shared" si="11"/>
        <v>1762206.4</v>
      </c>
      <c r="BH22" s="631">
        <f t="shared" si="11"/>
        <v>0</v>
      </c>
      <c r="BI22" s="634">
        <f>[1]Субсидия_факт!PI24</f>
        <v>0</v>
      </c>
      <c r="BJ22" s="635"/>
      <c r="BK22" s="632">
        <f>[1]Субсидия_факт!PY24</f>
        <v>0</v>
      </c>
      <c r="BL22" s="638"/>
      <c r="BM22" s="631">
        <f t="shared" si="12"/>
        <v>0</v>
      </c>
      <c r="BN22" s="631">
        <f t="shared" si="12"/>
        <v>0</v>
      </c>
      <c r="BO22" s="634">
        <f>[1]Субсидия_факт!QA24</f>
        <v>0</v>
      </c>
      <c r="BP22" s="635"/>
    </row>
    <row r="23" spans="1:68" s="639" customFormat="1" ht="21" customHeight="1" x14ac:dyDescent="0.25">
      <c r="A23" s="640" t="s">
        <v>1316</v>
      </c>
      <c r="B23" s="641">
        <f t="shared" si="23"/>
        <v>13164715.290000007</v>
      </c>
      <c r="C23" s="641">
        <f t="shared" si="23"/>
        <v>7953997.9900000002</v>
      </c>
      <c r="D23" s="631">
        <f t="shared" si="24"/>
        <v>699024.02000000025</v>
      </c>
      <c r="E23" s="631">
        <f t="shared" si="24"/>
        <v>171037.99999999994</v>
      </c>
      <c r="F23" s="631">
        <f t="shared" si="24"/>
        <v>12465691.270000005</v>
      </c>
      <c r="G23" s="631">
        <f t="shared" si="24"/>
        <v>7782959.9900000002</v>
      </c>
      <c r="H23" s="632">
        <f>[1]Субсидия_факт!DZ25</f>
        <v>0</v>
      </c>
      <c r="I23" s="633"/>
      <c r="J23" s="631">
        <f t="shared" si="2"/>
        <v>0</v>
      </c>
      <c r="K23" s="631">
        <f t="shared" si="2"/>
        <v>0</v>
      </c>
      <c r="L23" s="634">
        <f>[1]Субсидия_факт!EB25</f>
        <v>0</v>
      </c>
      <c r="M23" s="635"/>
      <c r="N23" s="636">
        <f>[1]Субсидия_факт!LH25</f>
        <v>9950087.3200000059</v>
      </c>
      <c r="O23" s="637">
        <v>7719519.9100000001</v>
      </c>
      <c r="P23" s="631">
        <f t="shared" si="3"/>
        <v>0</v>
      </c>
      <c r="Q23" s="631">
        <f t="shared" si="3"/>
        <v>0</v>
      </c>
      <c r="R23" s="634">
        <f t="shared" si="25"/>
        <v>9950087.3200000059</v>
      </c>
      <c r="S23" s="634">
        <f t="shared" si="25"/>
        <v>7719519.9100000001</v>
      </c>
      <c r="T23" s="632">
        <f>[1]Субсидия_факт!MN25</f>
        <v>0</v>
      </c>
      <c r="U23" s="638"/>
      <c r="V23" s="631">
        <f t="shared" si="5"/>
        <v>0</v>
      </c>
      <c r="W23" s="631">
        <f t="shared" si="5"/>
        <v>0</v>
      </c>
      <c r="X23" s="634">
        <f>[1]Субсидия_факт!MP25</f>
        <v>0</v>
      </c>
      <c r="Y23" s="635"/>
      <c r="Z23" s="632">
        <f>[1]Субсидия_факт!MZ25</f>
        <v>0</v>
      </c>
      <c r="AA23" s="638"/>
      <c r="AB23" s="631">
        <f t="shared" si="6"/>
        <v>0</v>
      </c>
      <c r="AC23" s="631">
        <f t="shared" si="6"/>
        <v>0</v>
      </c>
      <c r="AD23" s="634">
        <f>[1]Субсидия_факт!NB25</f>
        <v>0</v>
      </c>
      <c r="AE23" s="635"/>
      <c r="AF23" s="632">
        <f>[1]Субсидия_факт!NF25</f>
        <v>0</v>
      </c>
      <c r="AG23" s="638"/>
      <c r="AH23" s="631">
        <f t="shared" si="7"/>
        <v>0</v>
      </c>
      <c r="AI23" s="631">
        <f t="shared" si="7"/>
        <v>0</v>
      </c>
      <c r="AJ23" s="634">
        <f>[1]Субсидия_факт!NH25</f>
        <v>0</v>
      </c>
      <c r="AK23" s="635"/>
      <c r="AL23" s="632">
        <f>[1]Субсидия_факт!NN25</f>
        <v>2495414.66</v>
      </c>
      <c r="AM23" s="638"/>
      <c r="AN23" s="631">
        <f t="shared" si="8"/>
        <v>155755.03000000026</v>
      </c>
      <c r="AO23" s="631">
        <f t="shared" si="8"/>
        <v>0</v>
      </c>
      <c r="AP23" s="634">
        <f>[1]Субсидия_факт!NP25</f>
        <v>2339659.63</v>
      </c>
      <c r="AQ23" s="635"/>
      <c r="AR23" s="632">
        <f>[1]Субсидия_факт!NT25</f>
        <v>0</v>
      </c>
      <c r="AS23" s="633"/>
      <c r="AT23" s="631">
        <f t="shared" si="9"/>
        <v>0</v>
      </c>
      <c r="AU23" s="631">
        <f t="shared" si="9"/>
        <v>0</v>
      </c>
      <c r="AV23" s="634">
        <f>[1]Субсидия_факт!NV25</f>
        <v>0</v>
      </c>
      <c r="AW23" s="635"/>
      <c r="AX23" s="632">
        <f>[1]Субсидия_факт!OY25</f>
        <v>719213.30999999994</v>
      </c>
      <c r="AY23" s="633">
        <f>AZ23-'Прочая  субсидия_МР  и  ГО'!BC23</f>
        <v>234478.07999999996</v>
      </c>
      <c r="AZ23" s="668">
        <v>315206.15999999997</v>
      </c>
      <c r="BA23" s="631">
        <f t="shared" si="10"/>
        <v>543268.99</v>
      </c>
      <c r="BB23" s="631">
        <f t="shared" si="10"/>
        <v>171037.99999999994</v>
      </c>
      <c r="BC23" s="634">
        <f>[1]Субсидия_факт!PA25</f>
        <v>175944.32000000001</v>
      </c>
      <c r="BD23" s="635">
        <v>63440.08</v>
      </c>
      <c r="BE23" s="632">
        <f>[1]Субсидия_факт!PG25</f>
        <v>0</v>
      </c>
      <c r="BF23" s="638"/>
      <c r="BG23" s="631">
        <f t="shared" si="11"/>
        <v>0</v>
      </c>
      <c r="BH23" s="631">
        <f t="shared" si="11"/>
        <v>0</v>
      </c>
      <c r="BI23" s="634">
        <f>[1]Субсидия_факт!PI25</f>
        <v>0</v>
      </c>
      <c r="BJ23" s="635"/>
      <c r="BK23" s="632">
        <f>[1]Субсидия_факт!PY25</f>
        <v>0</v>
      </c>
      <c r="BL23" s="638"/>
      <c r="BM23" s="631">
        <f t="shared" si="12"/>
        <v>0</v>
      </c>
      <c r="BN23" s="631">
        <f t="shared" si="12"/>
        <v>0</v>
      </c>
      <c r="BO23" s="634">
        <f>[1]Субсидия_факт!QA25</f>
        <v>0</v>
      </c>
      <c r="BP23" s="635"/>
    </row>
    <row r="24" spans="1:68" s="639" customFormat="1" ht="21" customHeight="1" x14ac:dyDescent="0.25">
      <c r="A24" s="640" t="s">
        <v>1317</v>
      </c>
      <c r="B24" s="641">
        <f t="shared" si="23"/>
        <v>1207370.6099999999</v>
      </c>
      <c r="C24" s="641">
        <f t="shared" si="23"/>
        <v>262433.17999999993</v>
      </c>
      <c r="D24" s="631">
        <f t="shared" si="24"/>
        <v>-426663.07999999984</v>
      </c>
      <c r="E24" s="631">
        <f t="shared" si="24"/>
        <v>262433.17999999993</v>
      </c>
      <c r="F24" s="631">
        <f t="shared" si="24"/>
        <v>1634033.69</v>
      </c>
      <c r="G24" s="631">
        <f t="shared" si="24"/>
        <v>0</v>
      </c>
      <c r="H24" s="632">
        <f>[1]Субсидия_факт!DZ26</f>
        <v>0</v>
      </c>
      <c r="I24" s="633"/>
      <c r="J24" s="631">
        <f t="shared" ref="J24:K25" si="26">H24-L24</f>
        <v>0</v>
      </c>
      <c r="K24" s="631">
        <f t="shared" si="26"/>
        <v>0</v>
      </c>
      <c r="L24" s="634">
        <f>[1]Субсидия_факт!EB26</f>
        <v>0</v>
      </c>
      <c r="M24" s="635"/>
      <c r="N24" s="636">
        <f>[1]Субсидия_факт!LH26</f>
        <v>0</v>
      </c>
      <c r="O24" s="637"/>
      <c r="P24" s="631">
        <f t="shared" si="3"/>
        <v>0</v>
      </c>
      <c r="Q24" s="631">
        <f t="shared" si="3"/>
        <v>0</v>
      </c>
      <c r="R24" s="634">
        <f t="shared" si="25"/>
        <v>0</v>
      </c>
      <c r="S24" s="634">
        <f t="shared" si="25"/>
        <v>0</v>
      </c>
      <c r="T24" s="632">
        <f>[1]Субсидия_факт!MN26</f>
        <v>0</v>
      </c>
      <c r="U24" s="638"/>
      <c r="V24" s="631">
        <f t="shared" ref="V24:W25" si="27">T24-X24</f>
        <v>0</v>
      </c>
      <c r="W24" s="631">
        <f t="shared" si="27"/>
        <v>0</v>
      </c>
      <c r="X24" s="634">
        <f>[1]Субсидия_факт!MP26</f>
        <v>0</v>
      </c>
      <c r="Y24" s="635"/>
      <c r="Z24" s="632">
        <f>[1]Субсидия_факт!MZ26</f>
        <v>0</v>
      </c>
      <c r="AA24" s="638"/>
      <c r="AB24" s="631">
        <f t="shared" ref="AB24:AC25" si="28">Z24-AD24</f>
        <v>0</v>
      </c>
      <c r="AC24" s="631">
        <f t="shared" si="28"/>
        <v>0</v>
      </c>
      <c r="AD24" s="634">
        <f>[1]Субсидия_факт!NB26</f>
        <v>0</v>
      </c>
      <c r="AE24" s="635"/>
      <c r="AF24" s="632">
        <f>[1]Субсидия_факт!NF26</f>
        <v>0</v>
      </c>
      <c r="AG24" s="638"/>
      <c r="AH24" s="631">
        <f t="shared" ref="AH24:AI25" si="29">AF24-AJ24</f>
        <v>0</v>
      </c>
      <c r="AI24" s="631">
        <f t="shared" si="29"/>
        <v>0</v>
      </c>
      <c r="AJ24" s="634">
        <f>[1]Субсидия_факт!NH26</f>
        <v>0</v>
      </c>
      <c r="AK24" s="635"/>
      <c r="AL24" s="632">
        <f>[1]Субсидия_факт!NN26</f>
        <v>580183.91</v>
      </c>
      <c r="AM24" s="638"/>
      <c r="AN24" s="631">
        <f t="shared" ref="AN24:AO25" si="30">AL24-AP24</f>
        <v>-1053849.7799999998</v>
      </c>
      <c r="AO24" s="631">
        <f t="shared" si="30"/>
        <v>0</v>
      </c>
      <c r="AP24" s="634">
        <f>[1]Субсидия_факт!NP26</f>
        <v>1634033.69</v>
      </c>
      <c r="AQ24" s="635"/>
      <c r="AR24" s="632">
        <f>[1]Субсидия_факт!NT26</f>
        <v>0</v>
      </c>
      <c r="AS24" s="633"/>
      <c r="AT24" s="631">
        <f t="shared" ref="AT24:AU25" si="31">AR24-AV24</f>
        <v>0</v>
      </c>
      <c r="AU24" s="631">
        <f t="shared" si="31"/>
        <v>0</v>
      </c>
      <c r="AV24" s="634">
        <f>[1]Субсидия_факт!NV26</f>
        <v>0</v>
      </c>
      <c r="AW24" s="635"/>
      <c r="AX24" s="632">
        <f>[1]Субсидия_факт!OY26</f>
        <v>627186.69999999995</v>
      </c>
      <c r="AY24" s="633">
        <f>AZ24-'Прочая  субсидия_МР  и  ГО'!BC24</f>
        <v>262433.17999999993</v>
      </c>
      <c r="AZ24" s="668">
        <v>397418.47</v>
      </c>
      <c r="BA24" s="631">
        <f t="shared" ref="BA24:BB25" si="32">AX24-BC24</f>
        <v>627186.69999999995</v>
      </c>
      <c r="BB24" s="631">
        <f t="shared" si="32"/>
        <v>262433.17999999993</v>
      </c>
      <c r="BC24" s="634">
        <f>[1]Субсидия_факт!PA26</f>
        <v>0</v>
      </c>
      <c r="BD24" s="635"/>
      <c r="BE24" s="632">
        <f>[1]Субсидия_факт!PG26</f>
        <v>0</v>
      </c>
      <c r="BF24" s="638"/>
      <c r="BG24" s="631">
        <f t="shared" ref="BG24:BH25" si="33">BE24-BI24</f>
        <v>0</v>
      </c>
      <c r="BH24" s="631">
        <f t="shared" si="33"/>
        <v>0</v>
      </c>
      <c r="BI24" s="634">
        <f>[1]Субсидия_факт!PI26</f>
        <v>0</v>
      </c>
      <c r="BJ24" s="635"/>
      <c r="BK24" s="632">
        <f>[1]Субсидия_факт!PY26</f>
        <v>0</v>
      </c>
      <c r="BL24" s="638"/>
      <c r="BM24" s="631">
        <f t="shared" ref="BM24:BN25" si="34">BK24-BO24</f>
        <v>0</v>
      </c>
      <c r="BN24" s="631">
        <f t="shared" si="34"/>
        <v>0</v>
      </c>
      <c r="BO24" s="634">
        <f>[1]Субсидия_факт!QA26</f>
        <v>0</v>
      </c>
      <c r="BP24" s="635"/>
    </row>
    <row r="25" spans="1:68" s="639" customFormat="1" ht="21" customHeight="1" x14ac:dyDescent="0.25">
      <c r="A25" s="642" t="s">
        <v>1318</v>
      </c>
      <c r="B25" s="641">
        <f t="shared" si="23"/>
        <v>17110062.870000001</v>
      </c>
      <c r="C25" s="641">
        <f t="shared" si="23"/>
        <v>4074529.5500000003</v>
      </c>
      <c r="D25" s="631">
        <f t="shared" si="24"/>
        <v>7063832.6600000001</v>
      </c>
      <c r="E25" s="631">
        <f t="shared" si="24"/>
        <v>3128732.1</v>
      </c>
      <c r="F25" s="631">
        <f t="shared" si="24"/>
        <v>10046230.209999999</v>
      </c>
      <c r="G25" s="631">
        <f t="shared" si="24"/>
        <v>945797.45</v>
      </c>
      <c r="H25" s="632">
        <f>[1]Субсидия_факт!DZ27</f>
        <v>0</v>
      </c>
      <c r="I25" s="633"/>
      <c r="J25" s="631">
        <f t="shared" si="26"/>
        <v>0</v>
      </c>
      <c r="K25" s="631">
        <f t="shared" si="26"/>
        <v>0</v>
      </c>
      <c r="L25" s="634">
        <f>[1]Субсидия_факт!EB27</f>
        <v>0</v>
      </c>
      <c r="M25" s="635"/>
      <c r="N25" s="636">
        <f>[1]Субсидия_факт!LH27</f>
        <v>0</v>
      </c>
      <c r="O25" s="637"/>
      <c r="P25" s="631">
        <f t="shared" si="3"/>
        <v>0</v>
      </c>
      <c r="Q25" s="631">
        <f t="shared" si="3"/>
        <v>0</v>
      </c>
      <c r="R25" s="634">
        <f t="shared" si="25"/>
        <v>0</v>
      </c>
      <c r="S25" s="634">
        <f t="shared" si="25"/>
        <v>0</v>
      </c>
      <c r="T25" s="632">
        <f>[1]Субсидия_факт!MN27</f>
        <v>0</v>
      </c>
      <c r="U25" s="638"/>
      <c r="V25" s="631">
        <f t="shared" si="27"/>
        <v>0</v>
      </c>
      <c r="W25" s="631">
        <f t="shared" si="27"/>
        <v>0</v>
      </c>
      <c r="X25" s="634">
        <f>[1]Субсидия_факт!MP27</f>
        <v>0</v>
      </c>
      <c r="Y25" s="635"/>
      <c r="Z25" s="632">
        <f>[1]Субсидия_факт!MZ27</f>
        <v>0</v>
      </c>
      <c r="AA25" s="638"/>
      <c r="AB25" s="631">
        <f t="shared" si="28"/>
        <v>0</v>
      </c>
      <c r="AC25" s="631">
        <f t="shared" si="28"/>
        <v>0</v>
      </c>
      <c r="AD25" s="634">
        <f>[1]Субсидия_факт!NB27</f>
        <v>0</v>
      </c>
      <c r="AE25" s="635"/>
      <c r="AF25" s="632">
        <f>[1]Субсидия_факт!NF27</f>
        <v>15495743.17</v>
      </c>
      <c r="AG25" s="638">
        <v>3370073</v>
      </c>
      <c r="AH25" s="631">
        <f t="shared" si="29"/>
        <v>6495743.1699999999</v>
      </c>
      <c r="AI25" s="631">
        <f t="shared" si="29"/>
        <v>2929073</v>
      </c>
      <c r="AJ25" s="634">
        <f>[1]Субсидия_факт!NH27</f>
        <v>9000000</v>
      </c>
      <c r="AK25" s="635">
        <v>441000</v>
      </c>
      <c r="AL25" s="632">
        <f>[1]Субсидия_факт!NN27</f>
        <v>493719.02</v>
      </c>
      <c r="AM25" s="638"/>
      <c r="AN25" s="631">
        <f t="shared" si="30"/>
        <v>-37078.589999999967</v>
      </c>
      <c r="AO25" s="631">
        <f t="shared" si="30"/>
        <v>0</v>
      </c>
      <c r="AP25" s="634">
        <f>[1]Субсидия_факт!NP27</f>
        <v>530797.61</v>
      </c>
      <c r="AQ25" s="635"/>
      <c r="AR25" s="632">
        <f>[1]Субсидия_факт!NT27</f>
        <v>504797.45</v>
      </c>
      <c r="AS25" s="638">
        <v>504797.45</v>
      </c>
      <c r="AT25" s="631">
        <f t="shared" si="31"/>
        <v>0</v>
      </c>
      <c r="AU25" s="631">
        <f t="shared" si="31"/>
        <v>0</v>
      </c>
      <c r="AV25" s="634">
        <f>[1]Субсидия_факт!NV27</f>
        <v>504797.45</v>
      </c>
      <c r="AW25" s="1118">
        <f>AS25</f>
        <v>504797.45</v>
      </c>
      <c r="AX25" s="632">
        <f>[1]Субсидия_факт!OY27</f>
        <v>391040.27000000008</v>
      </c>
      <c r="AY25" s="633">
        <f>AZ25-'Прочая  субсидия_МР  и  ГО'!BC25</f>
        <v>199659.1</v>
      </c>
      <c r="AZ25" s="1038">
        <v>252139.84</v>
      </c>
      <c r="BA25" s="631">
        <f t="shared" si="32"/>
        <v>380405.12000000005</v>
      </c>
      <c r="BB25" s="631">
        <f t="shared" si="32"/>
        <v>199659.1</v>
      </c>
      <c r="BC25" s="634">
        <f>[1]Субсидия_факт!PA27</f>
        <v>10635.15</v>
      </c>
      <c r="BD25" s="635">
        <v>0</v>
      </c>
      <c r="BE25" s="632">
        <f>[1]Субсидия_факт!PG27</f>
        <v>224762.96</v>
      </c>
      <c r="BF25" s="638"/>
      <c r="BG25" s="631">
        <f t="shared" si="33"/>
        <v>224762.96</v>
      </c>
      <c r="BH25" s="631">
        <f t="shared" si="33"/>
        <v>0</v>
      </c>
      <c r="BI25" s="634">
        <f>[1]Субсидия_факт!PI27</f>
        <v>0</v>
      </c>
      <c r="BJ25" s="635"/>
      <c r="BK25" s="632">
        <f>[1]Субсидия_факт!PY27</f>
        <v>0</v>
      </c>
      <c r="BL25" s="638"/>
      <c r="BM25" s="631">
        <f t="shared" si="34"/>
        <v>0</v>
      </c>
      <c r="BN25" s="631">
        <f t="shared" si="34"/>
        <v>0</v>
      </c>
      <c r="BO25" s="634">
        <f>[1]Субсидия_факт!QA27</f>
        <v>0</v>
      </c>
      <c r="BP25" s="635"/>
    </row>
    <row r="26" spans="1:68" s="639" customFormat="1" ht="21" customHeight="1" x14ac:dyDescent="0.25">
      <c r="A26" s="1089" t="s">
        <v>336</v>
      </c>
      <c r="B26" s="643">
        <f t="shared" ref="B26:Q26" si="35">SUM(B8:B25)</f>
        <v>187305903.59000003</v>
      </c>
      <c r="C26" s="643">
        <f t="shared" si="35"/>
        <v>33714991.949999996</v>
      </c>
      <c r="D26" s="644">
        <f t="shared" si="35"/>
        <v>25682372.670000002</v>
      </c>
      <c r="E26" s="644">
        <f t="shared" si="35"/>
        <v>6937380.6699999999</v>
      </c>
      <c r="F26" s="644">
        <f t="shared" si="35"/>
        <v>161623530.92000002</v>
      </c>
      <c r="G26" s="644">
        <f t="shared" si="35"/>
        <v>26777611.279999997</v>
      </c>
      <c r="H26" s="643">
        <f t="shared" si="35"/>
        <v>6956.5199999999977</v>
      </c>
      <c r="I26" s="645">
        <f t="shared" si="35"/>
        <v>6956.5199999999977</v>
      </c>
      <c r="J26" s="644">
        <f t="shared" si="35"/>
        <v>0</v>
      </c>
      <c r="K26" s="644">
        <f t="shared" si="35"/>
        <v>0</v>
      </c>
      <c r="L26" s="644">
        <f t="shared" si="35"/>
        <v>6956.5199999999977</v>
      </c>
      <c r="M26" s="644">
        <f t="shared" si="35"/>
        <v>6956.5199999999977</v>
      </c>
      <c r="N26" s="637">
        <f t="shared" si="35"/>
        <v>51625558.140000008</v>
      </c>
      <c r="O26" s="637">
        <f t="shared" si="35"/>
        <v>24131769.879999999</v>
      </c>
      <c r="P26" s="644">
        <f t="shared" si="35"/>
        <v>0</v>
      </c>
      <c r="Q26" s="644">
        <f t="shared" si="35"/>
        <v>0</v>
      </c>
      <c r="R26" s="634">
        <f t="shared" si="25"/>
        <v>51625558.140000008</v>
      </c>
      <c r="S26" s="634">
        <f t="shared" si="25"/>
        <v>24131769.879999999</v>
      </c>
      <c r="T26" s="643">
        <f t="shared" ref="T26:BO26" si="36">SUM(T8:T25)</f>
        <v>0</v>
      </c>
      <c r="U26" s="645">
        <f t="shared" si="36"/>
        <v>0</v>
      </c>
      <c r="V26" s="644">
        <f t="shared" si="36"/>
        <v>0</v>
      </c>
      <c r="W26" s="644">
        <f t="shared" si="36"/>
        <v>0</v>
      </c>
      <c r="X26" s="644">
        <f t="shared" si="36"/>
        <v>0</v>
      </c>
      <c r="Y26" s="644">
        <f t="shared" si="36"/>
        <v>0</v>
      </c>
      <c r="Z26" s="643">
        <f t="shared" si="36"/>
        <v>0</v>
      </c>
      <c r="AA26" s="645">
        <f t="shared" si="36"/>
        <v>0</v>
      </c>
      <c r="AB26" s="644">
        <f t="shared" si="36"/>
        <v>0</v>
      </c>
      <c r="AC26" s="644">
        <f t="shared" si="36"/>
        <v>0</v>
      </c>
      <c r="AD26" s="644">
        <f t="shared" si="36"/>
        <v>0</v>
      </c>
      <c r="AE26" s="644">
        <f t="shared" si="36"/>
        <v>0</v>
      </c>
      <c r="AF26" s="643">
        <f t="shared" si="36"/>
        <v>104595582.04000001</v>
      </c>
      <c r="AG26" s="645">
        <f t="shared" si="36"/>
        <v>4803504.5999999996</v>
      </c>
      <c r="AH26" s="644">
        <f t="shared" si="36"/>
        <v>12971005.74</v>
      </c>
      <c r="AI26" s="644">
        <f t="shared" si="36"/>
        <v>4362504.5999999996</v>
      </c>
      <c r="AJ26" s="644">
        <f t="shared" si="36"/>
        <v>91624576.299999997</v>
      </c>
      <c r="AK26" s="644">
        <f t="shared" si="36"/>
        <v>441000</v>
      </c>
      <c r="AL26" s="645">
        <f t="shared" si="36"/>
        <v>19680600</v>
      </c>
      <c r="AM26" s="645">
        <f t="shared" si="36"/>
        <v>0</v>
      </c>
      <c r="AN26" s="644">
        <f t="shared" si="36"/>
        <v>4980600.0000000019</v>
      </c>
      <c r="AO26" s="644">
        <f t="shared" si="36"/>
        <v>0</v>
      </c>
      <c r="AP26" s="644">
        <f t="shared" si="36"/>
        <v>14699999.999999998</v>
      </c>
      <c r="AQ26" s="644">
        <f t="shared" si="36"/>
        <v>0</v>
      </c>
      <c r="AR26" s="643">
        <f t="shared" si="36"/>
        <v>2221320.4200000004</v>
      </c>
      <c r="AS26" s="645">
        <f t="shared" si="36"/>
        <v>2016703.18</v>
      </c>
      <c r="AT26" s="644">
        <f t="shared" si="36"/>
        <v>0</v>
      </c>
      <c r="AU26" s="644">
        <f t="shared" si="36"/>
        <v>0</v>
      </c>
      <c r="AV26" s="644">
        <f t="shared" si="36"/>
        <v>2221320.4200000004</v>
      </c>
      <c r="AW26" s="644">
        <f t="shared" si="36"/>
        <v>2016703.18</v>
      </c>
      <c r="AX26" s="643">
        <f t="shared" si="36"/>
        <v>6308112.290000001</v>
      </c>
      <c r="AY26" s="645">
        <f t="shared" si="36"/>
        <v>2756057.77</v>
      </c>
      <c r="AZ26" s="1035">
        <f t="shared" si="36"/>
        <v>5357022.9000000004</v>
      </c>
      <c r="BA26" s="646">
        <f t="shared" si="36"/>
        <v>4862992.75</v>
      </c>
      <c r="BB26" s="646">
        <f t="shared" si="36"/>
        <v>2574876.0699999998</v>
      </c>
      <c r="BC26" s="646">
        <f t="shared" si="36"/>
        <v>1445119.5399999998</v>
      </c>
      <c r="BD26" s="646">
        <f t="shared" si="36"/>
        <v>181181.7</v>
      </c>
      <c r="BE26" s="643">
        <f t="shared" si="36"/>
        <v>2867774.1799999997</v>
      </c>
      <c r="BF26" s="645">
        <f t="shared" si="36"/>
        <v>0</v>
      </c>
      <c r="BG26" s="644">
        <f t="shared" si="36"/>
        <v>2867774.1799999997</v>
      </c>
      <c r="BH26" s="644">
        <f t="shared" si="36"/>
        <v>0</v>
      </c>
      <c r="BI26" s="644">
        <f t="shared" si="36"/>
        <v>0</v>
      </c>
      <c r="BJ26" s="644">
        <f t="shared" si="36"/>
        <v>0</v>
      </c>
      <c r="BK26" s="643">
        <f t="shared" si="36"/>
        <v>0</v>
      </c>
      <c r="BL26" s="645">
        <f t="shared" si="36"/>
        <v>0</v>
      </c>
      <c r="BM26" s="644">
        <f t="shared" si="36"/>
        <v>0</v>
      </c>
      <c r="BN26" s="644">
        <f t="shared" si="36"/>
        <v>0</v>
      </c>
      <c r="BO26" s="644">
        <f t="shared" si="36"/>
        <v>0</v>
      </c>
      <c r="BP26" s="644">
        <f t="shared" ref="BP26" si="37">SUM(BP8:BP25)</f>
        <v>0</v>
      </c>
    </row>
    <row r="27" spans="1:68" s="639" customFormat="1" ht="21" customHeight="1" x14ac:dyDescent="0.25">
      <c r="B27" s="647"/>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8"/>
      <c r="AM27" s="648"/>
      <c r="AN27" s="648"/>
      <c r="AO27" s="648"/>
      <c r="AP27" s="648"/>
      <c r="AQ27" s="648"/>
      <c r="AR27" s="648"/>
      <c r="AS27" s="648"/>
      <c r="AT27" s="648"/>
      <c r="AU27" s="648"/>
      <c r="AV27" s="648"/>
      <c r="AW27" s="648"/>
      <c r="AX27" s="647"/>
      <c r="AY27" s="647"/>
      <c r="AZ27" s="1037">
        <f>AZ26-'Прочая  субсидия_МР  и  ГО'!BC44+'Прочая  субсидия_МР  и  ГО'!BC30</f>
        <v>0</v>
      </c>
      <c r="BA27" s="647"/>
      <c r="BB27" s="647"/>
      <c r="BC27" s="647"/>
      <c r="BD27" s="647"/>
      <c r="BE27" s="647"/>
      <c r="BF27" s="647"/>
      <c r="BG27" s="647"/>
      <c r="BH27" s="647"/>
      <c r="BI27" s="647"/>
      <c r="BJ27" s="647"/>
      <c r="BK27" s="647"/>
      <c r="BL27" s="647"/>
      <c r="BM27" s="647"/>
      <c r="BN27" s="647"/>
      <c r="BO27" s="647"/>
      <c r="BP27" s="647"/>
    </row>
    <row r="28" spans="1:68" ht="15.75" x14ac:dyDescent="0.25">
      <c r="N28" s="1"/>
      <c r="O28" s="1"/>
      <c r="P28" s="1"/>
      <c r="Q28" s="1"/>
      <c r="R28" s="1"/>
      <c r="S28" s="1"/>
      <c r="AL28" s="647"/>
      <c r="AM28" s="647"/>
      <c r="AN28" s="647"/>
      <c r="AO28" s="647"/>
      <c r="AP28" s="647"/>
      <c r="AQ28" s="647"/>
      <c r="AR28" s="647"/>
      <c r="AS28" s="647"/>
      <c r="AT28" s="647"/>
      <c r="AU28" s="647"/>
      <c r="AV28" s="647"/>
      <c r="AW28" s="647"/>
    </row>
    <row r="29" spans="1:68" ht="15.75" x14ac:dyDescent="0.25">
      <c r="N29" s="1"/>
      <c r="O29" s="1"/>
      <c r="P29" s="1"/>
      <c r="Q29" s="1"/>
      <c r="R29" s="1"/>
      <c r="S29" s="1"/>
      <c r="AL29" s="647"/>
      <c r="AM29" s="647"/>
      <c r="AN29" s="647"/>
      <c r="AO29" s="647"/>
      <c r="AP29" s="647"/>
      <c r="AQ29" s="647"/>
      <c r="AR29" s="647"/>
      <c r="AS29" s="647"/>
      <c r="AT29" s="647"/>
      <c r="AU29" s="647"/>
      <c r="AV29" s="647"/>
      <c r="AW29" s="647"/>
    </row>
    <row r="30" spans="1:68" s="394" customFormat="1" ht="15.75" x14ac:dyDescent="0.25">
      <c r="A30" s="1"/>
      <c r="B30" s="1"/>
      <c r="C30" s="1"/>
      <c r="D30" s="1"/>
      <c r="E30" s="1"/>
      <c r="F30" s="1"/>
      <c r="G30" s="1"/>
      <c r="AL30" s="647"/>
      <c r="AM30" s="647"/>
      <c r="AN30" s="647"/>
      <c r="AO30" s="647"/>
      <c r="AP30" s="647"/>
      <c r="AQ30" s="647"/>
      <c r="AR30" s="647"/>
      <c r="AS30" s="647"/>
      <c r="AT30" s="647"/>
      <c r="AU30" s="647"/>
      <c r="AV30" s="647"/>
      <c r="AW30" s="647"/>
      <c r="AZ30" s="499"/>
    </row>
    <row r="31" spans="1:68" ht="15.75" x14ac:dyDescent="0.25">
      <c r="N31" s="1"/>
      <c r="O31" s="1"/>
      <c r="P31" s="1"/>
      <c r="Q31" s="1"/>
      <c r="R31" s="1"/>
      <c r="S31" s="1"/>
      <c r="AL31" s="649"/>
      <c r="AM31" s="649"/>
      <c r="AN31" s="649"/>
      <c r="AO31" s="649"/>
      <c r="AP31" s="649"/>
      <c r="AQ31" s="649"/>
      <c r="AR31" s="649"/>
      <c r="AS31" s="649"/>
      <c r="AT31" s="649"/>
      <c r="AU31" s="649"/>
      <c r="AV31" s="649"/>
      <c r="AW31" s="649"/>
    </row>
    <row r="32" spans="1:68" ht="15.75" x14ac:dyDescent="0.25">
      <c r="N32" s="1"/>
      <c r="O32" s="1"/>
      <c r="P32" s="1"/>
      <c r="Q32" s="1"/>
      <c r="R32" s="1"/>
      <c r="S32" s="1"/>
      <c r="AL32" s="647"/>
      <c r="AM32" s="647"/>
      <c r="AN32" s="647"/>
      <c r="AO32" s="647"/>
      <c r="AP32" s="647"/>
      <c r="AQ32" s="647"/>
      <c r="AR32" s="647"/>
      <c r="AS32" s="647"/>
      <c r="AT32" s="647"/>
      <c r="AU32" s="647"/>
      <c r="AV32" s="647"/>
      <c r="AW32" s="647"/>
    </row>
    <row r="33" spans="14:56" ht="15.75" x14ac:dyDescent="0.25">
      <c r="N33" s="1"/>
      <c r="O33" s="1"/>
      <c r="P33" s="1"/>
      <c r="Q33" s="1"/>
      <c r="R33" s="1"/>
      <c r="S33" s="1"/>
      <c r="AL33" s="647"/>
      <c r="AM33" s="647"/>
      <c r="AN33" s="647"/>
      <c r="AO33" s="647"/>
      <c r="AP33" s="647"/>
      <c r="AQ33" s="647"/>
      <c r="AR33" s="647"/>
      <c r="AS33" s="647"/>
      <c r="AT33" s="647"/>
      <c r="AU33" s="647"/>
      <c r="AV33" s="647"/>
      <c r="AW33" s="647"/>
    </row>
    <row r="34" spans="14:56" x14ac:dyDescent="0.25">
      <c r="AL34" s="647"/>
      <c r="AM34" s="647"/>
      <c r="AN34" s="647"/>
      <c r="AO34" s="647"/>
      <c r="AP34" s="647"/>
      <c r="AQ34" s="647"/>
      <c r="AR34" s="647"/>
      <c r="AS34" s="647"/>
      <c r="AT34" s="647"/>
      <c r="AU34" s="647"/>
      <c r="AV34" s="647"/>
      <c r="AW34" s="647"/>
      <c r="AX34" s="647"/>
      <c r="AY34" s="647"/>
      <c r="AZ34" s="647"/>
      <c r="BA34" s="647"/>
      <c r="BB34" s="647"/>
      <c r="BC34" s="647"/>
      <c r="BD34" s="647"/>
    </row>
    <row r="35" spans="14:56" x14ac:dyDescent="0.25">
      <c r="AL35" s="650"/>
      <c r="AM35" s="650"/>
      <c r="AN35" s="650"/>
      <c r="AO35" s="650"/>
      <c r="AP35" s="650"/>
      <c r="AQ35" s="650"/>
      <c r="AR35" s="650"/>
      <c r="AS35" s="650"/>
      <c r="AT35" s="650"/>
      <c r="AU35" s="650"/>
      <c r="AV35" s="650"/>
      <c r="AW35" s="650"/>
    </row>
    <row r="36" spans="14:56" x14ac:dyDescent="0.25">
      <c r="AL36" s="647"/>
      <c r="AM36" s="647"/>
      <c r="AN36" s="647"/>
      <c r="AO36" s="647"/>
      <c r="AP36" s="647"/>
      <c r="AQ36" s="647"/>
      <c r="AR36" s="647"/>
      <c r="AS36" s="647"/>
      <c r="AT36" s="647"/>
      <c r="AU36" s="647"/>
      <c r="AV36" s="647"/>
      <c r="AW36" s="647"/>
    </row>
    <row r="37" spans="14:56" x14ac:dyDescent="0.25">
      <c r="AL37" s="651"/>
      <c r="AM37" s="651"/>
      <c r="AN37" s="651"/>
      <c r="AO37" s="651"/>
      <c r="AP37" s="651"/>
      <c r="AQ37" s="651"/>
      <c r="AR37" s="651"/>
      <c r="AS37" s="651"/>
      <c r="AT37" s="651"/>
      <c r="AU37" s="651"/>
      <c r="AV37" s="651"/>
      <c r="AW37" s="651"/>
    </row>
    <row r="38" spans="14:56" x14ac:dyDescent="0.25">
      <c r="AL38" s="651"/>
      <c r="AM38" s="651"/>
      <c r="AN38" s="651"/>
      <c r="AO38" s="651"/>
      <c r="AP38" s="651"/>
      <c r="AQ38" s="651"/>
      <c r="AR38" s="651"/>
      <c r="AS38" s="651"/>
      <c r="AT38" s="651"/>
      <c r="AU38" s="651"/>
      <c r="AV38" s="651"/>
      <c r="AW38" s="651"/>
    </row>
    <row r="39" spans="14:56" x14ac:dyDescent="0.25">
      <c r="AL39" s="651"/>
      <c r="AM39" s="651"/>
      <c r="AN39" s="651"/>
      <c r="AO39" s="651"/>
      <c r="AP39" s="651"/>
      <c r="AQ39" s="651"/>
      <c r="AR39" s="651"/>
      <c r="AS39" s="651"/>
      <c r="AT39" s="651"/>
      <c r="AU39" s="651"/>
      <c r="AV39" s="651"/>
      <c r="AW39" s="651"/>
    </row>
    <row r="40" spans="14:56" ht="15.75" x14ac:dyDescent="0.25">
      <c r="N40" s="1"/>
      <c r="O40" s="1"/>
      <c r="P40" s="1"/>
      <c r="Q40" s="1"/>
      <c r="R40" s="1"/>
      <c r="S40" s="1"/>
      <c r="AL40" s="651"/>
      <c r="AM40" s="651"/>
      <c r="AN40" s="651"/>
      <c r="AO40" s="651"/>
      <c r="AP40" s="651"/>
      <c r="AQ40" s="651"/>
      <c r="AR40" s="651"/>
      <c r="AS40" s="651"/>
      <c r="AT40" s="651"/>
      <c r="AU40" s="651"/>
      <c r="AV40" s="651"/>
      <c r="AW40" s="651"/>
    </row>
    <row r="41" spans="14:56" ht="15" x14ac:dyDescent="0.2">
      <c r="N41" s="1"/>
      <c r="O41" s="1"/>
      <c r="P41" s="1"/>
      <c r="Q41" s="1"/>
      <c r="R41" s="1"/>
      <c r="S41" s="1"/>
    </row>
    <row r="42" spans="14:56" ht="15" x14ac:dyDescent="0.2">
      <c r="N42" s="1"/>
      <c r="O42" s="1"/>
      <c r="P42" s="1"/>
      <c r="Q42" s="1"/>
      <c r="R42" s="1"/>
      <c r="S42" s="1"/>
    </row>
    <row r="43" spans="14:56" ht="15" x14ac:dyDescent="0.2">
      <c r="N43" s="1"/>
      <c r="O43" s="1"/>
      <c r="P43" s="1"/>
      <c r="Q43" s="1"/>
      <c r="R43" s="1"/>
      <c r="S43" s="1"/>
    </row>
    <row r="44" spans="14:56" ht="15" x14ac:dyDescent="0.2">
      <c r="N44" s="1"/>
      <c r="O44" s="1"/>
      <c r="P44" s="1"/>
      <c r="Q44" s="1"/>
      <c r="R44" s="1"/>
      <c r="S44" s="1"/>
    </row>
    <row r="45" spans="14:56" ht="15" x14ac:dyDescent="0.2">
      <c r="N45" s="1"/>
      <c r="O45" s="1"/>
      <c r="P45" s="1"/>
      <c r="Q45" s="1"/>
      <c r="R45" s="1"/>
      <c r="S45" s="1"/>
    </row>
    <row r="46" spans="14:56" ht="15" x14ac:dyDescent="0.2">
      <c r="N46" s="1"/>
      <c r="O46" s="1"/>
      <c r="P46" s="1"/>
      <c r="Q46" s="1"/>
      <c r="R46" s="1"/>
      <c r="S46" s="1"/>
    </row>
    <row r="47" spans="14:56" ht="15" x14ac:dyDescent="0.2">
      <c r="N47" s="1"/>
      <c r="O47" s="1"/>
      <c r="P47" s="1"/>
      <c r="Q47" s="1"/>
      <c r="R47" s="1"/>
      <c r="S47" s="1"/>
    </row>
    <row r="48" spans="14:56" x14ac:dyDescent="0.2">
      <c r="N48" s="652"/>
      <c r="O48" s="652"/>
      <c r="P48" s="652"/>
      <c r="Q48" s="652"/>
      <c r="R48" s="652"/>
      <c r="S48" s="652"/>
    </row>
    <row r="49" spans="14:19" x14ac:dyDescent="0.2">
      <c r="N49" s="652"/>
      <c r="O49" s="652"/>
      <c r="P49" s="652"/>
      <c r="Q49" s="652"/>
      <c r="R49" s="652"/>
      <c r="S49" s="652"/>
    </row>
    <row r="50" spans="14:19" x14ac:dyDescent="0.2">
      <c r="N50" s="653"/>
      <c r="O50" s="653"/>
      <c r="P50" s="653"/>
      <c r="Q50" s="653"/>
      <c r="R50" s="653"/>
      <c r="S50" s="653"/>
    </row>
    <row r="51" spans="14:19" x14ac:dyDescent="0.2">
      <c r="N51" s="654"/>
      <c r="O51" s="654"/>
      <c r="P51" s="654"/>
      <c r="Q51" s="654"/>
      <c r="R51" s="654"/>
      <c r="S51" s="654"/>
    </row>
    <row r="52" spans="14:19" x14ac:dyDescent="0.2">
      <c r="N52" s="654"/>
      <c r="O52" s="654"/>
      <c r="P52" s="654"/>
      <c r="Q52" s="654"/>
      <c r="R52" s="654"/>
      <c r="S52" s="654"/>
    </row>
    <row r="53" spans="14:19" x14ac:dyDescent="0.2">
      <c r="N53" s="654"/>
      <c r="O53" s="654"/>
      <c r="P53" s="654"/>
      <c r="Q53" s="654"/>
      <c r="R53" s="654"/>
      <c r="S53" s="654"/>
    </row>
    <row r="54" spans="14:19" x14ac:dyDescent="0.2">
      <c r="N54" s="654"/>
      <c r="O54" s="654"/>
      <c r="P54" s="654"/>
      <c r="Q54" s="654"/>
      <c r="R54" s="654"/>
      <c r="S54" s="654"/>
    </row>
    <row r="55" spans="14:19" x14ac:dyDescent="0.2">
      <c r="N55" s="653"/>
      <c r="O55" s="653"/>
      <c r="P55" s="653"/>
      <c r="Q55" s="653"/>
      <c r="R55" s="653"/>
      <c r="S55" s="653"/>
    </row>
    <row r="56" spans="14:19" x14ac:dyDescent="0.2">
      <c r="N56" s="653"/>
      <c r="O56" s="653"/>
      <c r="P56" s="653"/>
      <c r="Q56" s="653"/>
      <c r="R56" s="653"/>
      <c r="S56" s="653"/>
    </row>
    <row r="57" spans="14:19" x14ac:dyDescent="0.2">
      <c r="N57" s="653"/>
      <c r="O57" s="653"/>
      <c r="P57" s="653"/>
      <c r="Q57" s="653"/>
      <c r="R57" s="653"/>
      <c r="S57" s="653"/>
    </row>
  </sheetData>
  <mergeCells count="44">
    <mergeCell ref="J5:K5"/>
    <mergeCell ref="A5:A6"/>
    <mergeCell ref="B5:C6"/>
    <mergeCell ref="D5:E6"/>
    <mergeCell ref="F5:G6"/>
    <mergeCell ref="H5:I5"/>
    <mergeCell ref="H6:M6"/>
    <mergeCell ref="AH5:AI5"/>
    <mergeCell ref="L5:M5"/>
    <mergeCell ref="N5:O5"/>
    <mergeCell ref="P5:Q5"/>
    <mergeCell ref="R5:S5"/>
    <mergeCell ref="T5:U5"/>
    <mergeCell ref="V5:W5"/>
    <mergeCell ref="X5:Y5"/>
    <mergeCell ref="Z5:AA5"/>
    <mergeCell ref="AB5:AC5"/>
    <mergeCell ref="AD5:AE5"/>
    <mergeCell ref="AF5:AG5"/>
    <mergeCell ref="AX6:BD6"/>
    <mergeCell ref="AJ5:AK5"/>
    <mergeCell ref="AL5:AM5"/>
    <mergeCell ref="AN5:AO5"/>
    <mergeCell ref="AP5:AQ5"/>
    <mergeCell ref="AR5:AS5"/>
    <mergeCell ref="AV5:AW5"/>
    <mergeCell ref="AX5:AY5"/>
    <mergeCell ref="BA5:BB5"/>
    <mergeCell ref="BC5:BD5"/>
    <mergeCell ref="AT5:AU5"/>
    <mergeCell ref="N6:S6"/>
    <mergeCell ref="T6:Y6"/>
    <mergeCell ref="Z6:AE6"/>
    <mergeCell ref="AF6:AK6"/>
    <mergeCell ref="AR6:AW6"/>
    <mergeCell ref="AL6:AQ6"/>
    <mergeCell ref="BE6:BJ6"/>
    <mergeCell ref="BK6:BP6"/>
    <mergeCell ref="BI5:BJ5"/>
    <mergeCell ref="BK5:BL5"/>
    <mergeCell ref="BM5:BN5"/>
    <mergeCell ref="BO5:BP5"/>
    <mergeCell ref="BE5:BF5"/>
    <mergeCell ref="BG5:BH5"/>
  </mergeCells>
  <pageMargins left="0.78740157480314965" right="0.39370078740157483" top="0.78740157480314965" bottom="0.78740157480314965" header="0.51181102362204722" footer="0.51181102362204722"/>
  <pageSetup paperSize="9" scale="54" fitToWidth="10" orientation="landscape" r:id="rId1"/>
  <headerFooter alignWithMargins="0">
    <oddFooter>&amp;L&amp;P&amp;R&amp;Z&amp;F&amp;A</oddFooter>
  </headerFooter>
  <colBreaks count="6" manualBreakCount="6">
    <brk id="11" max="25" man="1"/>
    <brk id="21" max="25" man="1"/>
    <brk id="31" max="25" man="1"/>
    <brk id="41" max="25" man="1"/>
    <brk id="52" max="25" man="1"/>
    <brk id="62"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44"/>
  <sheetViews>
    <sheetView topLeftCell="A2" zoomScale="34" zoomScaleNormal="34" zoomScaleSheetLayoutView="50" workbookViewId="0">
      <pane xSplit="3" ySplit="6" topLeftCell="D8" activePane="bottomRight" state="frozen"/>
      <selection activeCell="A2" sqref="A2"/>
      <selection pane="topRight" activeCell="D2" sqref="D2"/>
      <selection pane="bottomLeft" activeCell="A8" sqref="A8"/>
      <selection pane="bottomRight" activeCell="AO12" sqref="AO12:AO25"/>
    </sheetView>
  </sheetViews>
  <sheetFormatPr defaultColWidth="8.85546875" defaultRowHeight="16.5" x14ac:dyDescent="0.25"/>
  <cols>
    <col min="1" max="1" width="33.42578125" style="589" customWidth="1"/>
    <col min="2" max="2" width="26.140625" style="589" customWidth="1"/>
    <col min="3" max="3" width="25.5703125" style="589" bestFit="1" customWidth="1"/>
    <col min="4" max="4" width="23.140625" style="589" customWidth="1"/>
    <col min="5" max="5" width="22.5703125" style="589" customWidth="1"/>
    <col min="6" max="6" width="21.85546875" style="589" customWidth="1"/>
    <col min="7" max="9" width="21.5703125" style="589" customWidth="1"/>
    <col min="10" max="10" width="22.42578125" style="589" customWidth="1"/>
    <col min="11" max="12" width="23.42578125" style="589" customWidth="1"/>
    <col min="13" max="13" width="25.5703125" style="589" customWidth="1"/>
    <col min="14" max="14" width="22.42578125" style="589" bestFit="1" customWidth="1"/>
    <col min="15" max="15" width="22.85546875" style="589" bestFit="1" customWidth="1"/>
    <col min="16" max="17" width="22.140625" style="589" customWidth="1"/>
    <col min="18" max="18" width="26.7109375" style="589" customWidth="1"/>
    <col min="19" max="19" width="24" style="589" customWidth="1"/>
    <col min="20" max="20" width="25.7109375" style="589" bestFit="1" customWidth="1"/>
    <col min="21" max="21" width="25.85546875" style="589" customWidth="1"/>
    <col min="22" max="22" width="23.42578125" style="589" customWidth="1"/>
    <col min="23" max="23" width="22.42578125" style="589" customWidth="1"/>
    <col min="24" max="24" width="26.5703125" style="589" customWidth="1"/>
    <col min="25" max="25" width="26.85546875" style="589" customWidth="1"/>
    <col min="26" max="27" width="22.42578125" style="589" customWidth="1"/>
    <col min="28" max="28" width="22.140625" style="589" customWidth="1"/>
    <col min="29" max="29" width="22.42578125" style="589" bestFit="1" customWidth="1"/>
    <col min="30" max="31" width="22.5703125" style="589" customWidth="1"/>
    <col min="32" max="32" width="22" style="589" customWidth="1"/>
    <col min="33" max="37" width="22.42578125" style="589" customWidth="1"/>
    <col min="38" max="38" width="22.5703125" style="589" customWidth="1"/>
    <col min="39" max="39" width="24" style="589" customWidth="1"/>
    <col min="40" max="40" width="22.42578125" style="589" customWidth="1"/>
    <col min="41" max="41" width="20.5703125" style="589" customWidth="1"/>
    <col min="42" max="42" width="12.5703125" style="589" customWidth="1"/>
    <col min="43" max="43" width="8.85546875" style="589"/>
    <col min="44" max="44" width="25.140625" style="589" customWidth="1"/>
    <col min="45" max="45" width="18.5703125" style="589" customWidth="1"/>
    <col min="46" max="46" width="17.5703125" style="589" customWidth="1"/>
    <col min="47" max="47" width="18.5703125" style="589" customWidth="1"/>
    <col min="48" max="16384" width="8.85546875" style="589"/>
  </cols>
  <sheetData>
    <row r="2" spans="1:47" ht="48" customHeight="1" x14ac:dyDescent="0.25">
      <c r="C2" s="1664" t="s">
        <v>856</v>
      </c>
      <c r="D2" s="1664"/>
      <c r="E2" s="1664"/>
      <c r="F2" s="1664"/>
      <c r="G2" s="1664"/>
      <c r="H2" s="1664"/>
      <c r="I2" s="590" t="str">
        <f>'Прочая  субсидия_БП'!F2</f>
        <v>ПО  СОСТОЯНИЮ  НА  1  ИЮЛЯ  2024  ГОДА</v>
      </c>
      <c r="J2" s="590"/>
      <c r="K2" s="590"/>
      <c r="L2" s="591"/>
      <c r="AB2" s="592"/>
      <c r="AC2" s="592"/>
      <c r="AF2" s="593"/>
      <c r="AG2" s="593"/>
      <c r="AH2" s="593"/>
      <c r="AI2" s="593"/>
      <c r="AJ2" s="593"/>
      <c r="AK2" s="593"/>
    </row>
    <row r="3" spans="1:47" x14ac:dyDescent="0.25">
      <c r="B3" s="593"/>
      <c r="C3" s="593"/>
      <c r="D3" s="593"/>
      <c r="E3" s="593"/>
      <c r="AB3" s="593"/>
      <c r="AC3" s="593"/>
      <c r="AD3" s="593"/>
      <c r="AE3" s="593"/>
      <c r="AF3" s="593"/>
      <c r="AG3" s="593"/>
      <c r="AH3" s="593"/>
      <c r="AI3" s="593"/>
      <c r="AJ3" s="593"/>
      <c r="AK3" s="593"/>
    </row>
    <row r="4" spans="1:47" x14ac:dyDescent="0.25">
      <c r="AO4" s="589" t="s">
        <v>857</v>
      </c>
    </row>
    <row r="5" spans="1:47" s="594" customFormat="1" ht="269.10000000000002" customHeight="1" x14ac:dyDescent="0.25">
      <c r="A5" s="1655" t="s">
        <v>812</v>
      </c>
      <c r="B5" s="1655" t="s">
        <v>31</v>
      </c>
      <c r="C5" s="1655"/>
      <c r="D5" s="1655" t="s">
        <v>858</v>
      </c>
      <c r="E5" s="1655"/>
      <c r="F5" s="1656" t="s">
        <v>859</v>
      </c>
      <c r="G5" s="1663"/>
      <c r="H5" s="1656" t="s">
        <v>860</v>
      </c>
      <c r="I5" s="1663"/>
      <c r="J5" s="1655" t="s">
        <v>861</v>
      </c>
      <c r="K5" s="1655"/>
      <c r="L5" s="1655" t="s">
        <v>862</v>
      </c>
      <c r="M5" s="1655"/>
      <c r="N5" s="1655" t="s">
        <v>863</v>
      </c>
      <c r="O5" s="1655"/>
      <c r="P5" s="1656" t="s">
        <v>864</v>
      </c>
      <c r="Q5" s="1663"/>
      <c r="R5" s="1657" t="s">
        <v>865</v>
      </c>
      <c r="S5" s="1657"/>
      <c r="T5" s="1656" t="s">
        <v>866</v>
      </c>
      <c r="U5" s="1663"/>
      <c r="V5" s="1655" t="s">
        <v>867</v>
      </c>
      <c r="W5" s="1655"/>
      <c r="X5" s="1655" t="s">
        <v>868</v>
      </c>
      <c r="Y5" s="1655"/>
      <c r="Z5" s="1655" t="s">
        <v>869</v>
      </c>
      <c r="AA5" s="1655"/>
      <c r="AB5" s="1655" t="s">
        <v>870</v>
      </c>
      <c r="AC5" s="1655"/>
      <c r="AD5" s="1655" t="s">
        <v>871</v>
      </c>
      <c r="AE5" s="1655"/>
      <c r="AF5" s="1655" t="s">
        <v>1279</v>
      </c>
      <c r="AG5" s="1655"/>
      <c r="AH5" s="1655" t="s">
        <v>872</v>
      </c>
      <c r="AI5" s="1656"/>
      <c r="AJ5" s="1662" t="s">
        <v>873</v>
      </c>
      <c r="AK5" s="1662"/>
      <c r="AL5" s="1655" t="s">
        <v>874</v>
      </c>
      <c r="AM5" s="1656"/>
      <c r="AN5" s="1657" t="s">
        <v>875</v>
      </c>
      <c r="AO5" s="1657"/>
    </row>
    <row r="6" spans="1:47" ht="25.5" customHeight="1" x14ac:dyDescent="0.25">
      <c r="A6" s="1655"/>
      <c r="B6" s="1655"/>
      <c r="C6" s="1655"/>
      <c r="D6" s="1658" t="s">
        <v>876</v>
      </c>
      <c r="E6" s="1659"/>
      <c r="F6" s="1658" t="s">
        <v>877</v>
      </c>
      <c r="G6" s="1659"/>
      <c r="H6" s="1658" t="s">
        <v>878</v>
      </c>
      <c r="I6" s="1659"/>
      <c r="J6" s="1658" t="s">
        <v>879</v>
      </c>
      <c r="K6" s="1659"/>
      <c r="L6" s="1658" t="s">
        <v>880</v>
      </c>
      <c r="M6" s="1659"/>
      <c r="N6" s="1658" t="s">
        <v>881</v>
      </c>
      <c r="O6" s="1659"/>
      <c r="P6" s="1658" t="s">
        <v>882</v>
      </c>
      <c r="Q6" s="1659"/>
      <c r="R6" s="1660" t="s">
        <v>883</v>
      </c>
      <c r="S6" s="1659"/>
      <c r="T6" s="1658" t="s">
        <v>884</v>
      </c>
      <c r="U6" s="1659"/>
      <c r="V6" s="1658" t="s">
        <v>885</v>
      </c>
      <c r="W6" s="1659"/>
      <c r="X6" s="1661" t="s">
        <v>886</v>
      </c>
      <c r="Y6" s="1661"/>
      <c r="Z6" s="1658" t="s">
        <v>887</v>
      </c>
      <c r="AA6" s="1659"/>
      <c r="AB6" s="1660" t="s">
        <v>888</v>
      </c>
      <c r="AC6" s="1659"/>
      <c r="AD6" s="1658" t="s">
        <v>889</v>
      </c>
      <c r="AE6" s="1659"/>
      <c r="AF6" s="1661" t="s">
        <v>890</v>
      </c>
      <c r="AG6" s="1661"/>
      <c r="AH6" s="1661" t="s">
        <v>891</v>
      </c>
      <c r="AI6" s="1661"/>
      <c r="AJ6" s="1661" t="s">
        <v>892</v>
      </c>
      <c r="AK6" s="1661"/>
      <c r="AL6" s="1660" t="s">
        <v>893</v>
      </c>
      <c r="AM6" s="1660"/>
      <c r="AN6" s="1658" t="s">
        <v>894</v>
      </c>
      <c r="AO6" s="1659"/>
    </row>
    <row r="7" spans="1:47" s="599" customFormat="1" ht="25.5" customHeight="1" x14ac:dyDescent="0.25">
      <c r="A7" s="595"/>
      <c r="B7" s="596" t="s">
        <v>315</v>
      </c>
      <c r="C7" s="596" t="s">
        <v>317</v>
      </c>
      <c r="D7" s="596" t="s">
        <v>315</v>
      </c>
      <c r="E7" s="596" t="s">
        <v>317</v>
      </c>
      <c r="F7" s="596" t="s">
        <v>315</v>
      </c>
      <c r="G7" s="596" t="s">
        <v>317</v>
      </c>
      <c r="H7" s="596" t="s">
        <v>315</v>
      </c>
      <c r="I7" s="596" t="s">
        <v>317</v>
      </c>
      <c r="J7" s="596" t="s">
        <v>315</v>
      </c>
      <c r="K7" s="596" t="s">
        <v>317</v>
      </c>
      <c r="L7" s="596" t="s">
        <v>315</v>
      </c>
      <c r="M7" s="596" t="s">
        <v>317</v>
      </c>
      <c r="N7" s="596" t="s">
        <v>315</v>
      </c>
      <c r="O7" s="596" t="s">
        <v>317</v>
      </c>
      <c r="P7" s="596" t="s">
        <v>315</v>
      </c>
      <c r="Q7" s="596" t="s">
        <v>317</v>
      </c>
      <c r="R7" s="596" t="s">
        <v>315</v>
      </c>
      <c r="S7" s="596" t="s">
        <v>317</v>
      </c>
      <c r="T7" s="596" t="s">
        <v>315</v>
      </c>
      <c r="U7" s="597" t="s">
        <v>317</v>
      </c>
      <c r="V7" s="596" t="s">
        <v>315</v>
      </c>
      <c r="W7" s="596" t="s">
        <v>317</v>
      </c>
      <c r="X7" s="596" t="s">
        <v>315</v>
      </c>
      <c r="Y7" s="596" t="s">
        <v>317</v>
      </c>
      <c r="Z7" s="596" t="s">
        <v>315</v>
      </c>
      <c r="AA7" s="596" t="s">
        <v>317</v>
      </c>
      <c r="AB7" s="596" t="s">
        <v>315</v>
      </c>
      <c r="AC7" s="596" t="s">
        <v>317</v>
      </c>
      <c r="AD7" s="596" t="s">
        <v>315</v>
      </c>
      <c r="AE7" s="596" t="s">
        <v>317</v>
      </c>
      <c r="AF7" s="596" t="s">
        <v>315</v>
      </c>
      <c r="AG7" s="596" t="s">
        <v>317</v>
      </c>
      <c r="AH7" s="596" t="s">
        <v>315</v>
      </c>
      <c r="AI7" s="596" t="s">
        <v>317</v>
      </c>
      <c r="AJ7" s="596" t="s">
        <v>315</v>
      </c>
      <c r="AK7" s="596" t="s">
        <v>317</v>
      </c>
      <c r="AL7" s="596" t="s">
        <v>315</v>
      </c>
      <c r="AM7" s="598" t="s">
        <v>317</v>
      </c>
      <c r="AN7" s="596" t="s">
        <v>315</v>
      </c>
      <c r="AO7" s="596" t="s">
        <v>317</v>
      </c>
    </row>
    <row r="8" spans="1:47" ht="21" customHeight="1" x14ac:dyDescent="0.25">
      <c r="A8" s="1018" t="s">
        <v>1301</v>
      </c>
      <c r="B8" s="1019">
        <f t="shared" ref="B8:C27" si="0">D8+F8+H8+L8+P8+J8+R8+N8+AL8+X8+T8+V8+Z8+AB8+AD8+AF8+AH8+AN8+AJ8</f>
        <v>172529055.76999995</v>
      </c>
      <c r="C8" s="1019">
        <f t="shared" si="0"/>
        <v>96897506</v>
      </c>
      <c r="D8" s="600">
        <f>[1]Субвенция_факт!H9*1000</f>
        <v>7069.15</v>
      </c>
      <c r="E8" s="601">
        <v>0</v>
      </c>
      <c r="F8" s="600">
        <f>[1]Субвенция_факт!I9*1000</f>
        <v>864864</v>
      </c>
      <c r="G8" s="601">
        <v>392142</v>
      </c>
      <c r="H8" s="600">
        <f>[1]Субвенция_факт!J9*1000</f>
        <v>310464</v>
      </c>
      <c r="I8" s="601">
        <v>138908</v>
      </c>
      <c r="J8" s="600">
        <f>[1]Субвенция_факт!K9*1000</f>
        <v>724762.65</v>
      </c>
      <c r="K8" s="601">
        <v>550000</v>
      </c>
      <c r="L8" s="600">
        <f>[1]Субвенция_факт!L9*1000</f>
        <v>3395950</v>
      </c>
      <c r="M8" s="601">
        <v>1385000</v>
      </c>
      <c r="N8" s="600">
        <f>[1]Субвенция_факт!N9*1000</f>
        <v>2433800.0699999998</v>
      </c>
      <c r="O8" s="601">
        <v>1350000</v>
      </c>
      <c r="P8" s="600">
        <f>[1]Субвенция_факт!O9*1000</f>
        <v>189456</v>
      </c>
      <c r="Q8" s="601">
        <v>189456</v>
      </c>
      <c r="R8" s="600">
        <f>[1]Субвенция_факт!R9*1000</f>
        <v>0</v>
      </c>
      <c r="S8" s="601"/>
      <c r="T8" s="600">
        <f>[1]Субвенция_факт!S9*1000</f>
        <v>139866786.99999997</v>
      </c>
      <c r="U8" s="602">
        <v>81600000</v>
      </c>
      <c r="V8" s="600">
        <f>[1]Субвенция_факт!T9*1000</f>
        <v>0</v>
      </c>
      <c r="W8" s="603"/>
      <c r="X8" s="600">
        <f>[1]Субвенция_факт!U9*1000</f>
        <v>20674300</v>
      </c>
      <c r="Y8" s="604">
        <v>9400000</v>
      </c>
      <c r="Z8" s="600">
        <f>[1]Субвенция_факт!V9*1000</f>
        <v>2500</v>
      </c>
      <c r="AA8" s="601">
        <v>0</v>
      </c>
      <c r="AB8" s="600">
        <f>[1]Субвенция_факт!Y9*1000</f>
        <v>2063520.1699999997</v>
      </c>
      <c r="AC8" s="601">
        <v>912000</v>
      </c>
      <c r="AD8" s="600">
        <f>[1]Субвенция_факт!Z9*1000</f>
        <v>0</v>
      </c>
      <c r="AE8" s="603"/>
      <c r="AF8" s="600">
        <f>[1]Субвенция_факт!AA9*1000</f>
        <v>773422.73</v>
      </c>
      <c r="AG8" s="604">
        <v>500000</v>
      </c>
      <c r="AH8" s="600">
        <f>[1]Субвенция_факт!AB9*1000</f>
        <v>473694</v>
      </c>
      <c r="AI8" s="601">
        <v>0</v>
      </c>
      <c r="AJ8" s="600">
        <f>[1]Субвенция_факт!AC9*1000</f>
        <v>0</v>
      </c>
      <c r="AK8" s="601"/>
      <c r="AL8" s="600">
        <f>[1]Субвенция_факт!AD9*1000</f>
        <v>748466</v>
      </c>
      <c r="AM8" s="605">
        <v>480000</v>
      </c>
      <c r="AN8" s="600">
        <f>[1]Субвенция_факт!AH9*1000</f>
        <v>0</v>
      </c>
      <c r="AO8" s="601"/>
      <c r="AR8" s="606"/>
      <c r="AS8" s="607"/>
      <c r="AT8" s="607"/>
      <c r="AU8" s="607"/>
    </row>
    <row r="9" spans="1:47" ht="21" customHeight="1" x14ac:dyDescent="0.25">
      <c r="A9" s="1018" t="s">
        <v>1302</v>
      </c>
      <c r="B9" s="1019">
        <f t="shared" ref="B9:C11" si="1">D9+F9+H9+L9+P9+J9+R9+N9+AL9+X9+T9+V9+Z9+AB9+AD9+AF9+AH9+AN9+AJ9</f>
        <v>458976871.32000005</v>
      </c>
      <c r="C9" s="1019">
        <f t="shared" si="1"/>
        <v>244611178</v>
      </c>
      <c r="D9" s="600">
        <f>[1]Субвенция_факт!H13*1000</f>
        <v>7069.15</v>
      </c>
      <c r="E9" s="601">
        <v>0</v>
      </c>
      <c r="F9" s="600">
        <f>[1]Субвенция_факт!I13*1000</f>
        <v>1820280</v>
      </c>
      <c r="G9" s="601">
        <v>960000</v>
      </c>
      <c r="H9" s="600">
        <f>[1]Субвенция_факт!J13*1000</f>
        <v>369600</v>
      </c>
      <c r="I9" s="601">
        <v>194040</v>
      </c>
      <c r="J9" s="600">
        <f>[1]Субвенция_факт!K13*1000</f>
        <v>810062.64999999991</v>
      </c>
      <c r="K9" s="601">
        <v>595000</v>
      </c>
      <c r="L9" s="600">
        <f>[1]Субвенция_факт!L13*1000</f>
        <v>8435112.8000000007</v>
      </c>
      <c r="M9" s="601">
        <v>5000000</v>
      </c>
      <c r="N9" s="600">
        <f>[1]Субвенция_факт!N13*1000</f>
        <v>3548224.27</v>
      </c>
      <c r="O9" s="601">
        <v>2450000</v>
      </c>
      <c r="P9" s="600">
        <f>[1]Субвенция_факт!O13*1000</f>
        <v>263038</v>
      </c>
      <c r="Q9" s="601">
        <v>263038</v>
      </c>
      <c r="R9" s="600">
        <f>[1]Субвенция_факт!R13*1000</f>
        <v>50000</v>
      </c>
      <c r="S9" s="601"/>
      <c r="T9" s="600">
        <f>[1]Субвенция_факт!S13*1000</f>
        <v>320512000</v>
      </c>
      <c r="U9" s="602">
        <v>175000000</v>
      </c>
      <c r="V9" s="600">
        <f>[1]Субвенция_факт!T13*1000</f>
        <v>0</v>
      </c>
      <c r="W9" s="603"/>
      <c r="X9" s="600">
        <f>[1]Субвенция_факт!U13*1000</f>
        <v>116381519</v>
      </c>
      <c r="Y9" s="604">
        <v>58000000</v>
      </c>
      <c r="Z9" s="600">
        <f>[1]Субвенция_факт!V13*1000</f>
        <v>5500</v>
      </c>
      <c r="AA9" s="601">
        <v>0</v>
      </c>
      <c r="AB9" s="600">
        <f>[1]Субвенция_факт!Y13*1000</f>
        <v>2768840.7199999997</v>
      </c>
      <c r="AC9" s="601">
        <v>1296000</v>
      </c>
      <c r="AD9" s="600">
        <f>[1]Субвенция_факт!Z13*1000</f>
        <v>0</v>
      </c>
      <c r="AE9" s="603"/>
      <c r="AF9" s="600">
        <f>[1]Субвенция_факт!AA13*1000</f>
        <v>763422.73</v>
      </c>
      <c r="AG9" s="604">
        <v>450000</v>
      </c>
      <c r="AH9" s="600">
        <f>[1]Субвенция_факт!AB13*1000</f>
        <v>540801</v>
      </c>
      <c r="AI9" s="601">
        <v>0</v>
      </c>
      <c r="AJ9" s="600">
        <f>[1]Субвенция_факт!AC13*1000</f>
        <v>1972885</v>
      </c>
      <c r="AK9" s="601"/>
      <c r="AL9" s="600">
        <f>[1]Субвенция_факт!AD13*1000</f>
        <v>728516.00000000012</v>
      </c>
      <c r="AM9" s="605">
        <v>403100</v>
      </c>
      <c r="AN9" s="600">
        <f>[1]Субвенция_факт!AH13*1000</f>
        <v>0</v>
      </c>
      <c r="AO9" s="601"/>
      <c r="AR9" s="606"/>
      <c r="AS9" s="607"/>
      <c r="AT9" s="607"/>
      <c r="AU9" s="607"/>
    </row>
    <row r="10" spans="1:47" ht="21" customHeight="1" x14ac:dyDescent="0.25">
      <c r="A10" s="1018" t="s">
        <v>1303</v>
      </c>
      <c r="B10" s="1019">
        <f t="shared" si="1"/>
        <v>255261840.56999996</v>
      </c>
      <c r="C10" s="1019">
        <f t="shared" si="1"/>
        <v>137893562</v>
      </c>
      <c r="D10" s="600">
        <f>[1]Субвенция_факт!H17*1000</f>
        <v>7069.15</v>
      </c>
      <c r="E10" s="601">
        <v>0</v>
      </c>
      <c r="F10" s="600">
        <f>[1]Субвенция_факт!I17*1000</f>
        <v>1123584</v>
      </c>
      <c r="G10" s="601">
        <v>495000</v>
      </c>
      <c r="H10" s="600">
        <f>[1]Субвенция_факт!J17*1000</f>
        <v>362208</v>
      </c>
      <c r="I10" s="601">
        <v>169092</v>
      </c>
      <c r="J10" s="600">
        <f>[1]Субвенция_факт!K17*1000</f>
        <v>705162.65</v>
      </c>
      <c r="K10" s="601">
        <v>230000</v>
      </c>
      <c r="L10" s="600">
        <f>[1]Субвенция_факт!L17*1000</f>
        <v>4567257.5999999996</v>
      </c>
      <c r="M10" s="601">
        <v>2700000</v>
      </c>
      <c r="N10" s="600">
        <f>[1]Субвенция_факт!N17*1000</f>
        <v>2420860.0699999998</v>
      </c>
      <c r="O10" s="601">
        <v>1250000</v>
      </c>
      <c r="P10" s="600">
        <f>[1]Субвенция_факт!O17*1000</f>
        <v>269070</v>
      </c>
      <c r="Q10" s="601">
        <v>194470</v>
      </c>
      <c r="R10" s="600">
        <f>[1]Субвенция_факт!R17*1000</f>
        <v>0</v>
      </c>
      <c r="S10" s="601"/>
      <c r="T10" s="600">
        <f>[1]Субвенция_факт!S17*1000</f>
        <v>191675781.99999997</v>
      </c>
      <c r="U10" s="602">
        <v>108000000</v>
      </c>
      <c r="V10" s="600">
        <f>[1]Субвенция_факт!T17*1000</f>
        <v>0</v>
      </c>
      <c r="W10" s="603"/>
      <c r="X10" s="600">
        <f>[1]Субвенция_факт!U17*1000</f>
        <v>44920274</v>
      </c>
      <c r="Y10" s="604">
        <v>23000000</v>
      </c>
      <c r="Z10" s="600">
        <f>[1]Субвенция_факт!V17*1000</f>
        <v>4000</v>
      </c>
      <c r="AA10" s="601">
        <v>0</v>
      </c>
      <c r="AB10" s="600">
        <f>[1]Субвенция_факт!Y17*1000</f>
        <v>7048908.3700000001</v>
      </c>
      <c r="AC10" s="601">
        <v>1075000</v>
      </c>
      <c r="AD10" s="600">
        <f>[1]Субвенция_факт!Z17*1000</f>
        <v>0</v>
      </c>
      <c r="AE10" s="603"/>
      <c r="AF10" s="600">
        <f>[1]Субвенция_факт!AA17*1000</f>
        <v>798422.73</v>
      </c>
      <c r="AG10" s="604">
        <v>320000</v>
      </c>
      <c r="AH10" s="600">
        <f>[1]Субвенция_факт!AB17*1000</f>
        <v>501326</v>
      </c>
      <c r="AI10" s="601">
        <v>0</v>
      </c>
      <c r="AJ10" s="600">
        <f>[1]Субвенция_факт!AC17*1000</f>
        <v>0</v>
      </c>
      <c r="AK10" s="601"/>
      <c r="AL10" s="600">
        <f>[1]Субвенция_факт!AD17*1000</f>
        <v>857916</v>
      </c>
      <c r="AM10" s="605">
        <v>460000</v>
      </c>
      <c r="AN10" s="600">
        <f>[1]Субвенция_факт!AH17*1000</f>
        <v>0</v>
      </c>
      <c r="AO10" s="601"/>
      <c r="AR10" s="606"/>
      <c r="AS10" s="607"/>
      <c r="AT10" s="607"/>
      <c r="AU10" s="607"/>
    </row>
    <row r="11" spans="1:47" ht="21" customHeight="1" x14ac:dyDescent="0.25">
      <c r="A11" s="1018" t="s">
        <v>1304</v>
      </c>
      <c r="B11" s="1019">
        <f t="shared" si="1"/>
        <v>264694031.58999997</v>
      </c>
      <c r="C11" s="1019">
        <f t="shared" si="1"/>
        <v>140432956</v>
      </c>
      <c r="D11" s="600">
        <f>[1]Субвенция_факт!H22*1000</f>
        <v>7069.15</v>
      </c>
      <c r="E11" s="601">
        <v>0</v>
      </c>
      <c r="F11" s="600">
        <f>[1]Субвенция_факт!I22*1000</f>
        <v>972048</v>
      </c>
      <c r="G11" s="601">
        <v>494888</v>
      </c>
      <c r="H11" s="600">
        <f>[1]Субвенция_факт!J22*1000</f>
        <v>352968</v>
      </c>
      <c r="I11" s="601">
        <v>174845</v>
      </c>
      <c r="J11" s="600">
        <f>[1]Субвенция_факт!K22*1000</f>
        <v>720942.64999999991</v>
      </c>
      <c r="K11" s="601">
        <v>388965</v>
      </c>
      <c r="L11" s="600">
        <f>[1]Субвенция_факт!L22*1000</f>
        <v>4391842.0999999996</v>
      </c>
      <c r="M11" s="601">
        <v>1976680</v>
      </c>
      <c r="N11" s="600">
        <f>[1]Субвенция_факт!N22*1000</f>
        <v>2252395.0699999998</v>
      </c>
      <c r="O11" s="601">
        <v>1085058</v>
      </c>
      <c r="P11" s="600">
        <f>[1]Субвенция_факт!O22*1000</f>
        <v>126640</v>
      </c>
      <c r="Q11" s="601">
        <v>67940</v>
      </c>
      <c r="R11" s="600">
        <f>[1]Субвенция_факт!R22*1000</f>
        <v>50000</v>
      </c>
      <c r="S11" s="601"/>
      <c r="T11" s="600">
        <f>[1]Субвенция_факт!S22*1000</f>
        <v>187716941</v>
      </c>
      <c r="U11" s="602">
        <v>98747000</v>
      </c>
      <c r="V11" s="600">
        <f>[1]Субвенция_факт!T22*1000</f>
        <v>0</v>
      </c>
      <c r="W11" s="603"/>
      <c r="X11" s="600">
        <f>[1]Субвенция_факт!U22*1000</f>
        <v>57756473.999999993</v>
      </c>
      <c r="Y11" s="604">
        <v>29000000</v>
      </c>
      <c r="Z11" s="600">
        <f>[1]Субвенция_факт!V22*1000</f>
        <v>500</v>
      </c>
      <c r="AA11" s="601">
        <v>500</v>
      </c>
      <c r="AB11" s="600">
        <f>[1]Субвенция_факт!Y22*1000</f>
        <v>8213303.8899999997</v>
      </c>
      <c r="AC11" s="601">
        <v>7142220</v>
      </c>
      <c r="AD11" s="600">
        <f>[1]Субвенция_факт!Z22*1000</f>
        <v>0</v>
      </c>
      <c r="AE11" s="603"/>
      <c r="AF11" s="600">
        <f>[1]Субвенция_факт!AA22*1000</f>
        <v>783422.73</v>
      </c>
      <c r="AG11" s="604">
        <v>430000</v>
      </c>
      <c r="AH11" s="600">
        <f>[1]Субвенция_факт!AB22*1000</f>
        <v>513169</v>
      </c>
      <c r="AI11" s="601">
        <v>462660</v>
      </c>
      <c r="AJ11" s="600">
        <f>[1]Субвенция_факт!AC22*1000</f>
        <v>0</v>
      </c>
      <c r="AK11" s="601"/>
      <c r="AL11" s="600">
        <f>[1]Субвенция_факт!AD22*1000</f>
        <v>836316</v>
      </c>
      <c r="AM11" s="605">
        <v>462200</v>
      </c>
      <c r="AN11" s="600">
        <f>[1]Субвенция_факт!AH22*1000</f>
        <v>0</v>
      </c>
      <c r="AO11" s="601"/>
      <c r="AR11" s="606"/>
      <c r="AS11" s="607"/>
      <c r="AT11" s="607"/>
      <c r="AU11" s="607"/>
    </row>
    <row r="12" spans="1:47" ht="21" customHeight="1" x14ac:dyDescent="0.25">
      <c r="A12" s="608" t="s">
        <v>1305</v>
      </c>
      <c r="B12" s="609">
        <f t="shared" si="0"/>
        <v>904336602.5</v>
      </c>
      <c r="C12" s="609">
        <f t="shared" si="0"/>
        <v>554939277.63</v>
      </c>
      <c r="D12" s="600">
        <f>[1]Субвенция_факт!H10*1000</f>
        <v>7069.15</v>
      </c>
      <c r="E12" s="601">
        <v>0</v>
      </c>
      <c r="F12" s="600">
        <f>[1]Субвенция_факт!I10*1000</f>
        <v>1304688</v>
      </c>
      <c r="G12" s="601">
        <v>580000</v>
      </c>
      <c r="H12" s="600">
        <f>[1]Субвенция_факт!J10*1000</f>
        <v>212520</v>
      </c>
      <c r="I12" s="601">
        <v>92246</v>
      </c>
      <c r="J12" s="600">
        <f>[1]Субвенция_факт!K10*1000</f>
        <v>1397817.2399999998</v>
      </c>
      <c r="K12" s="601">
        <v>900000</v>
      </c>
      <c r="L12" s="600">
        <f>[1]Субвенция_факт!L10*1000</f>
        <v>23628971.800000001</v>
      </c>
      <c r="M12" s="601">
        <v>18000000</v>
      </c>
      <c r="N12" s="600">
        <f>[1]Субвенция_факт!N10*1000</f>
        <v>7790253.3700000001</v>
      </c>
      <c r="O12" s="601">
        <v>4480000</v>
      </c>
      <c r="P12" s="600">
        <f>[1]Субвенция_факт!O10*1000</f>
        <v>897600</v>
      </c>
      <c r="Q12" s="601">
        <v>409360</v>
      </c>
      <c r="R12" s="600">
        <f>[1]Субвенция_факт!R10*1000</f>
        <v>50000</v>
      </c>
      <c r="S12" s="601"/>
      <c r="T12" s="600">
        <f>[1]Субвенция_факт!S10*1000</f>
        <v>626573803</v>
      </c>
      <c r="U12" s="602">
        <v>392000000</v>
      </c>
      <c r="V12" s="600">
        <f>[1]Субвенция_факт!T10*1000</f>
        <v>0</v>
      </c>
      <c r="W12" s="603"/>
      <c r="X12" s="600">
        <f>[1]Субвенция_факт!U10*1000</f>
        <v>234503042.00000003</v>
      </c>
      <c r="Y12" s="604">
        <v>134000000</v>
      </c>
      <c r="Z12" s="600">
        <f>[1]Субвенция_факт!V10*1000</f>
        <v>14500</v>
      </c>
      <c r="AA12" s="601">
        <v>0</v>
      </c>
      <c r="AB12" s="600">
        <f>[1]Субвенция_факт!Y10*1000</f>
        <v>2789280.03</v>
      </c>
      <c r="AC12" s="601">
        <v>1379000</v>
      </c>
      <c r="AD12" s="600">
        <f>[1]Субвенция_факт!Z10*1000</f>
        <v>0</v>
      </c>
      <c r="AE12" s="603"/>
      <c r="AF12" s="600">
        <f>[1]Субвенция_факт!AA10*1000</f>
        <v>1650994.0799999998</v>
      </c>
      <c r="AG12" s="604">
        <v>650000</v>
      </c>
      <c r="AH12" s="600">
        <f>[1]Субвенция_факт!AB10*1000</f>
        <v>1705300</v>
      </c>
      <c r="AI12" s="601">
        <v>1342651.63</v>
      </c>
      <c r="AJ12" s="600">
        <f>[1]Субвенция_факт!AC10*1000</f>
        <v>0</v>
      </c>
      <c r="AK12" s="601"/>
      <c r="AL12" s="600">
        <f>[1]Субвенция_факт!AD10*1000</f>
        <v>810816</v>
      </c>
      <c r="AM12" s="605">
        <v>620000</v>
      </c>
      <c r="AN12" s="600">
        <f>[1]Субвенция_факт!AH10*1000</f>
        <v>999947.83</v>
      </c>
      <c r="AO12" s="601">
        <v>486020</v>
      </c>
      <c r="AR12" s="606"/>
      <c r="AS12" s="607"/>
      <c r="AT12" s="607"/>
      <c r="AU12" s="607"/>
    </row>
    <row r="13" spans="1:47" ht="21" customHeight="1" x14ac:dyDescent="0.25">
      <c r="A13" s="608" t="s">
        <v>1306</v>
      </c>
      <c r="B13" s="609">
        <f t="shared" si="0"/>
        <v>424992698.4600001</v>
      </c>
      <c r="C13" s="609">
        <f t="shared" si="0"/>
        <v>225956949.55000001</v>
      </c>
      <c r="D13" s="600">
        <f>[1]Субвенция_факт!H11*1000</f>
        <v>7069.15</v>
      </c>
      <c r="E13" s="601">
        <v>0</v>
      </c>
      <c r="F13" s="600">
        <f>[1]Субвенция_факт!I11*1000</f>
        <v>643104</v>
      </c>
      <c r="G13" s="601">
        <v>305000</v>
      </c>
      <c r="H13" s="600">
        <f>[1]Субвенция_факт!J11*1000</f>
        <v>251328</v>
      </c>
      <c r="I13" s="601">
        <v>116886</v>
      </c>
      <c r="J13" s="600">
        <f>[1]Субвенция_факт!K11*1000</f>
        <v>1353817.2399999998</v>
      </c>
      <c r="K13" s="601">
        <v>648000</v>
      </c>
      <c r="L13" s="600">
        <f>[1]Субвенция_факт!L11*1000</f>
        <v>10737402.800000001</v>
      </c>
      <c r="M13" s="601">
        <v>6000000</v>
      </c>
      <c r="N13" s="600">
        <f>[1]Субвенция_факт!N11*1000</f>
        <v>3566436.24</v>
      </c>
      <c r="O13" s="601">
        <v>1722000</v>
      </c>
      <c r="P13" s="600">
        <f>[1]Субвенция_факт!O11*1000</f>
        <v>204000</v>
      </c>
      <c r="Q13" s="601">
        <v>90000</v>
      </c>
      <c r="R13" s="600">
        <f>[1]Субвенция_факт!R11*1000</f>
        <v>100000</v>
      </c>
      <c r="S13" s="601"/>
      <c r="T13" s="600">
        <f>[1]Субвенция_факт!S11*1000</f>
        <v>252231025</v>
      </c>
      <c r="U13" s="602">
        <v>141000000</v>
      </c>
      <c r="V13" s="600">
        <f>[1]Субвенция_факт!T11*1000</f>
        <v>0</v>
      </c>
      <c r="W13" s="603"/>
      <c r="X13" s="600">
        <f>[1]Субвенция_факт!U11*1000</f>
        <v>146808194.00000003</v>
      </c>
      <c r="Y13" s="604">
        <v>73000000</v>
      </c>
      <c r="Z13" s="600">
        <f>[1]Субвенция_факт!V11*1000</f>
        <v>4000</v>
      </c>
      <c r="AA13" s="601">
        <v>0</v>
      </c>
      <c r="AB13" s="600">
        <f>[1]Субвенция_факт!Y11*1000</f>
        <v>1989322.41</v>
      </c>
      <c r="AC13" s="601">
        <v>960000</v>
      </c>
      <c r="AD13" s="600">
        <f>[1]Субвенция_факт!Z11*1000</f>
        <v>0</v>
      </c>
      <c r="AE13" s="603"/>
      <c r="AF13" s="600">
        <f>[1]Субвенция_факт!AA11*1000</f>
        <v>808422.73</v>
      </c>
      <c r="AG13" s="604">
        <v>390000</v>
      </c>
      <c r="AH13" s="600">
        <f>[1]Субвенция_факт!AB11*1000</f>
        <v>1496085</v>
      </c>
      <c r="AI13" s="601">
        <v>754941.55</v>
      </c>
      <c r="AJ13" s="600">
        <f>[1]Субвенция_факт!AC11*1000</f>
        <v>2959328</v>
      </c>
      <c r="AK13" s="601"/>
      <c r="AL13" s="600">
        <f>[1]Субвенция_факт!AD11*1000</f>
        <v>851416</v>
      </c>
      <c r="AM13" s="605">
        <v>493200</v>
      </c>
      <c r="AN13" s="600">
        <f>[1]Субвенция_факт!AH11*1000</f>
        <v>981747.89</v>
      </c>
      <c r="AO13" s="601">
        <v>476922</v>
      </c>
      <c r="AR13" s="606"/>
      <c r="AS13" s="607"/>
      <c r="AT13" s="607"/>
      <c r="AU13" s="607"/>
    </row>
    <row r="14" spans="1:47" ht="21" customHeight="1" x14ac:dyDescent="0.25">
      <c r="A14" s="608" t="s">
        <v>1307</v>
      </c>
      <c r="B14" s="609">
        <f t="shared" si="0"/>
        <v>411200315.92000002</v>
      </c>
      <c r="C14" s="609">
        <f t="shared" si="0"/>
        <v>231586855.66999999</v>
      </c>
      <c r="D14" s="600">
        <f>[1]Субвенция_факт!H12*1000</f>
        <v>7069.15</v>
      </c>
      <c r="E14" s="601">
        <v>0</v>
      </c>
      <c r="F14" s="600">
        <f>[1]Субвенция_факт!I12*1000</f>
        <v>1888656</v>
      </c>
      <c r="G14" s="601">
        <v>674000</v>
      </c>
      <c r="H14" s="600">
        <f>[1]Субвенция_факт!J12*1000</f>
        <v>517438</v>
      </c>
      <c r="I14" s="601">
        <v>241318</v>
      </c>
      <c r="J14" s="600">
        <f>[1]Субвенция_факт!K12*1000</f>
        <v>1357917.24</v>
      </c>
      <c r="K14" s="601">
        <v>718000</v>
      </c>
      <c r="L14" s="600">
        <f>[1]Субвенция_факт!L12*1000</f>
        <v>9504116.9000000004</v>
      </c>
      <c r="M14" s="601">
        <v>5874000</v>
      </c>
      <c r="N14" s="600">
        <f>[1]Субвенция_факт!N12*1000</f>
        <v>4158340.58</v>
      </c>
      <c r="O14" s="601">
        <v>2020000</v>
      </c>
      <c r="P14" s="600">
        <f>[1]Субвенция_факт!O12*1000</f>
        <v>258942</v>
      </c>
      <c r="Q14" s="601">
        <v>249542</v>
      </c>
      <c r="R14" s="600">
        <f>[1]Субвенция_факт!R12*1000</f>
        <v>150000</v>
      </c>
      <c r="S14" s="601"/>
      <c r="T14" s="600">
        <f>[1]Субвенция_факт!S12*1000</f>
        <v>333421526</v>
      </c>
      <c r="U14" s="602">
        <v>190897000</v>
      </c>
      <c r="V14" s="600">
        <f>[1]Субвенция_факт!T12*1000</f>
        <v>0</v>
      </c>
      <c r="W14" s="603"/>
      <c r="X14" s="600">
        <f>[1]Субвенция_факт!U12*1000</f>
        <v>52200422.999999993</v>
      </c>
      <c r="Y14" s="604">
        <v>27185000</v>
      </c>
      <c r="Z14" s="600">
        <f>[1]Субвенция_факт!V12*1000</f>
        <v>4500</v>
      </c>
      <c r="AA14" s="601">
        <v>0</v>
      </c>
      <c r="AB14" s="600">
        <f>[1]Субвенция_факт!Y12*1000</f>
        <v>2213186.4299999997</v>
      </c>
      <c r="AC14" s="601">
        <v>1080000</v>
      </c>
      <c r="AD14" s="600">
        <f>[1]Субвенция_факт!Z12*1000</f>
        <v>0</v>
      </c>
      <c r="AE14" s="603"/>
      <c r="AF14" s="600">
        <f>[1]Субвенция_факт!AA12*1000</f>
        <v>798422.73</v>
      </c>
      <c r="AG14" s="604">
        <v>400000</v>
      </c>
      <c r="AH14" s="600">
        <f>[1]Субвенция_факт!AB12*1000</f>
        <v>1827671</v>
      </c>
      <c r="AI14" s="601">
        <v>1293223.67</v>
      </c>
      <c r="AJ14" s="600">
        <f>[1]Субвенция_факт!AC12*1000</f>
        <v>986443</v>
      </c>
      <c r="AK14" s="601"/>
      <c r="AL14" s="600">
        <f>[1]Субвенция_факт!AD12*1000</f>
        <v>886216</v>
      </c>
      <c r="AM14" s="605">
        <v>459000</v>
      </c>
      <c r="AN14" s="600">
        <f>[1]Субвенция_факт!AH12*1000</f>
        <v>1019447.89</v>
      </c>
      <c r="AO14" s="601">
        <v>495772</v>
      </c>
      <c r="AR14" s="606"/>
      <c r="AS14" s="607"/>
      <c r="AT14" s="607"/>
      <c r="AU14" s="607"/>
    </row>
    <row r="15" spans="1:47" ht="21" customHeight="1" x14ac:dyDescent="0.25">
      <c r="A15" s="608" t="s">
        <v>1308</v>
      </c>
      <c r="B15" s="609">
        <f t="shared" si="0"/>
        <v>270627606.41000003</v>
      </c>
      <c r="C15" s="609">
        <f t="shared" si="0"/>
        <v>158590686.87</v>
      </c>
      <c r="D15" s="600">
        <f>[1]Субвенция_факт!H14*1000</f>
        <v>7069.15</v>
      </c>
      <c r="E15" s="601">
        <v>0</v>
      </c>
      <c r="F15" s="600">
        <f>[1]Субвенция_факт!I14*1000</f>
        <v>1206744</v>
      </c>
      <c r="G15" s="601">
        <v>535000</v>
      </c>
      <c r="H15" s="600">
        <f>[1]Субвенция_факт!J14*1000</f>
        <v>347424</v>
      </c>
      <c r="I15" s="601">
        <v>153939.87</v>
      </c>
      <c r="J15" s="600">
        <f>[1]Субвенция_факт!K14*1000</f>
        <v>753062.64999999991</v>
      </c>
      <c r="K15" s="601">
        <v>360000</v>
      </c>
      <c r="L15" s="600">
        <f>[1]Субвенция_факт!L14*1000</f>
        <v>5516037.7999999998</v>
      </c>
      <c r="M15" s="601">
        <v>2830000</v>
      </c>
      <c r="N15" s="600">
        <f>[1]Субвенция_факт!N14*1000</f>
        <v>2400085.0699999998</v>
      </c>
      <c r="O15" s="601">
        <v>1750000</v>
      </c>
      <c r="P15" s="600">
        <f>[1]Субвенция_факт!O14*1000</f>
        <v>296875</v>
      </c>
      <c r="Q15" s="601">
        <v>168625</v>
      </c>
      <c r="R15" s="600">
        <f>[1]Субвенция_факт!R14*1000</f>
        <v>0</v>
      </c>
      <c r="S15" s="601"/>
      <c r="T15" s="600">
        <f>[1]Субвенция_факт!S14*1000</f>
        <v>216978375</v>
      </c>
      <c r="U15" s="602">
        <v>128000000</v>
      </c>
      <c r="V15" s="600">
        <f>[1]Субвенция_факт!T14*1000</f>
        <v>0</v>
      </c>
      <c r="W15" s="603"/>
      <c r="X15" s="600">
        <f>[1]Субвенция_факт!U14*1000</f>
        <v>38416590.000000007</v>
      </c>
      <c r="Y15" s="604">
        <v>22400000</v>
      </c>
      <c r="Z15" s="600">
        <f>[1]Субвенция_факт!V14*1000</f>
        <v>4000</v>
      </c>
      <c r="AA15" s="601">
        <v>4000</v>
      </c>
      <c r="AB15" s="600">
        <f>[1]Субвенция_факт!Y14*1000</f>
        <v>1767766.12</v>
      </c>
      <c r="AC15" s="601">
        <v>870000</v>
      </c>
      <c r="AD15" s="600">
        <f>[1]Субвенция_факт!Z14*1000</f>
        <v>0</v>
      </c>
      <c r="AE15" s="603"/>
      <c r="AF15" s="600">
        <f>[1]Субвенция_факт!AA14*1000</f>
        <v>803422.73</v>
      </c>
      <c r="AG15" s="604">
        <v>420000</v>
      </c>
      <c r="AH15" s="600">
        <f>[1]Субвенция_факт!AB14*1000</f>
        <v>323691</v>
      </c>
      <c r="AI15" s="601">
        <v>0</v>
      </c>
      <c r="AJ15" s="600">
        <f>[1]Субвенция_факт!AC14*1000</f>
        <v>0</v>
      </c>
      <c r="AK15" s="601"/>
      <c r="AL15" s="600">
        <f>[1]Субвенция_факт!AD14*1000</f>
        <v>840316</v>
      </c>
      <c r="AM15" s="605">
        <v>630000</v>
      </c>
      <c r="AN15" s="600">
        <f>[1]Субвенция_факт!AH14*1000</f>
        <v>966147.89</v>
      </c>
      <c r="AO15" s="601">
        <v>469122</v>
      </c>
      <c r="AR15" s="606"/>
      <c r="AS15" s="607"/>
      <c r="AT15" s="607"/>
      <c r="AU15" s="607"/>
    </row>
    <row r="16" spans="1:47" ht="21" customHeight="1" x14ac:dyDescent="0.25">
      <c r="A16" s="608" t="s">
        <v>1309</v>
      </c>
      <c r="B16" s="609">
        <f t="shared" si="0"/>
        <v>454768389.23000002</v>
      </c>
      <c r="C16" s="609">
        <f t="shared" si="0"/>
        <v>245310790.68000001</v>
      </c>
      <c r="D16" s="600">
        <f>[1]Субвенция_факт!H15*1000</f>
        <v>7069.15</v>
      </c>
      <c r="E16" s="601">
        <v>0</v>
      </c>
      <c r="F16" s="600">
        <f>[1]Субвенция_факт!I15*1000</f>
        <v>1386000</v>
      </c>
      <c r="G16" s="601">
        <v>713356</v>
      </c>
      <c r="H16" s="600">
        <f>[1]Субвенция_факт!J15*1000</f>
        <v>282744</v>
      </c>
      <c r="I16" s="601">
        <v>133980</v>
      </c>
      <c r="J16" s="600">
        <f>[1]Субвенция_факт!K15*1000</f>
        <v>1467617.24</v>
      </c>
      <c r="K16" s="601">
        <v>750000</v>
      </c>
      <c r="L16" s="600">
        <f>[1]Субвенция_факт!L15*1000</f>
        <v>8026031.2999999998</v>
      </c>
      <c r="M16" s="601">
        <v>5235697</v>
      </c>
      <c r="N16" s="600">
        <f>[1]Субвенция_факт!N15*1000</f>
        <v>3872243.6900000004</v>
      </c>
      <c r="O16" s="601">
        <v>1700000</v>
      </c>
      <c r="P16" s="600">
        <f>[1]Субвенция_факт!O15*1000</f>
        <v>502350</v>
      </c>
      <c r="Q16" s="601">
        <v>300000</v>
      </c>
      <c r="R16" s="600">
        <f>[1]Субвенция_факт!R15*1000</f>
        <v>100000</v>
      </c>
      <c r="S16" s="601"/>
      <c r="T16" s="600">
        <f>[1]Субвенция_факт!S15*1000</f>
        <v>313443785</v>
      </c>
      <c r="U16" s="602">
        <v>169000000</v>
      </c>
      <c r="V16" s="600">
        <f>[1]Субвенция_факт!T15*1000</f>
        <v>0</v>
      </c>
      <c r="W16" s="603"/>
      <c r="X16" s="600">
        <f>[1]Субвенция_факт!U15*1000</f>
        <v>118363981.99999999</v>
      </c>
      <c r="Y16" s="604">
        <v>64770000</v>
      </c>
      <c r="Z16" s="600">
        <f>[1]Субвенция_факт!V15*1000</f>
        <v>2000</v>
      </c>
      <c r="AA16" s="601">
        <v>0</v>
      </c>
      <c r="AB16" s="600">
        <f>[1]Субвенция_факт!Y15*1000</f>
        <v>1898422.23</v>
      </c>
      <c r="AC16" s="601">
        <v>918000</v>
      </c>
      <c r="AD16" s="600">
        <f>[1]Субвенция_факт!Z15*1000</f>
        <v>0</v>
      </c>
      <c r="AE16" s="603"/>
      <c r="AF16" s="600">
        <f>[1]Субвенция_факт!AA15*1000</f>
        <v>778422.73</v>
      </c>
      <c r="AG16" s="604">
        <v>360000</v>
      </c>
      <c r="AH16" s="600">
        <f>[1]Субвенция_факт!AB15*1000</f>
        <v>1914515</v>
      </c>
      <c r="AI16" s="601">
        <v>512235.68</v>
      </c>
      <c r="AJ16" s="600">
        <f>[1]Субвенция_факт!AC15*1000</f>
        <v>986443</v>
      </c>
      <c r="AK16" s="601"/>
      <c r="AL16" s="600">
        <f>[1]Субвенция_факт!AD15*1000</f>
        <v>753816</v>
      </c>
      <c r="AM16" s="605">
        <v>440000</v>
      </c>
      <c r="AN16" s="600">
        <f>[1]Субвенция_факт!AH15*1000</f>
        <v>982947.89</v>
      </c>
      <c r="AO16" s="601">
        <v>477522</v>
      </c>
      <c r="AR16" s="606"/>
      <c r="AS16" s="607"/>
      <c r="AT16" s="607"/>
      <c r="AU16" s="607"/>
    </row>
    <row r="17" spans="1:47" ht="21" customHeight="1" x14ac:dyDescent="0.25">
      <c r="A17" s="608" t="s">
        <v>1310</v>
      </c>
      <c r="B17" s="609">
        <f t="shared" si="0"/>
        <v>365054633.56</v>
      </c>
      <c r="C17" s="609">
        <f t="shared" si="0"/>
        <v>211337804.72999999</v>
      </c>
      <c r="D17" s="600">
        <f>[1]Субвенция_факт!H16*1000</f>
        <v>7069.15</v>
      </c>
      <c r="E17" s="601">
        <v>0</v>
      </c>
      <c r="F17" s="600">
        <f>[1]Субвенция_факт!I16*1000</f>
        <v>389928</v>
      </c>
      <c r="G17" s="601">
        <v>192000</v>
      </c>
      <c r="H17" s="600">
        <f>[1]Субвенция_факт!J16*1000</f>
        <v>194040</v>
      </c>
      <c r="I17" s="601">
        <v>85008</v>
      </c>
      <c r="J17" s="600">
        <f>[1]Субвенция_факт!K16*1000</f>
        <v>1479886.2399999998</v>
      </c>
      <c r="K17" s="601">
        <v>720000</v>
      </c>
      <c r="L17" s="600">
        <f>[1]Субвенция_факт!L16*1000</f>
        <v>8726787.3000000007</v>
      </c>
      <c r="M17" s="601">
        <v>5700000</v>
      </c>
      <c r="N17" s="600">
        <f>[1]Субвенция_факт!N16*1000</f>
        <v>3581723.73</v>
      </c>
      <c r="O17" s="601">
        <v>1653655</v>
      </c>
      <c r="P17" s="600">
        <f>[1]Субвенция_факт!O16*1000</f>
        <v>613360</v>
      </c>
      <c r="Q17" s="601">
        <v>606160</v>
      </c>
      <c r="R17" s="600">
        <f>[1]Субвенция_факт!R16*1000</f>
        <v>50000</v>
      </c>
      <c r="S17" s="601"/>
      <c r="T17" s="600">
        <f>[1]Субвенция_факт!S16*1000</f>
        <v>245905047</v>
      </c>
      <c r="U17" s="602">
        <v>147000000</v>
      </c>
      <c r="V17" s="600">
        <f>[1]Субвенция_факт!T16*1000</f>
        <v>0</v>
      </c>
      <c r="W17" s="603"/>
      <c r="X17" s="600">
        <f>[1]Субвенция_факт!U16*1000</f>
        <v>90979106</v>
      </c>
      <c r="Y17" s="604">
        <v>53000000</v>
      </c>
      <c r="Z17" s="600">
        <f>[1]Субвенция_факт!V16*1000</f>
        <v>2500</v>
      </c>
      <c r="AA17" s="601">
        <v>0</v>
      </c>
      <c r="AB17" s="600">
        <f>[1]Субвенция_факт!Y16*1000</f>
        <v>9513919.3300000001</v>
      </c>
      <c r="AC17" s="601">
        <v>930000</v>
      </c>
      <c r="AD17" s="600">
        <f>[1]Субвенция_факт!Z16*1000</f>
        <v>0</v>
      </c>
      <c r="AE17" s="603"/>
      <c r="AF17" s="600">
        <f>[1]Субвенция_факт!AA16*1000</f>
        <v>870556.92</v>
      </c>
      <c r="AG17" s="604">
        <v>465059.73</v>
      </c>
      <c r="AH17" s="600">
        <f>[1]Субвенция_факт!AB16*1000</f>
        <v>967126</v>
      </c>
      <c r="AI17" s="601">
        <v>0</v>
      </c>
      <c r="AJ17" s="600">
        <f>[1]Субвенция_факт!AC16*1000</f>
        <v>0</v>
      </c>
      <c r="AK17" s="601"/>
      <c r="AL17" s="600">
        <f>[1]Субвенция_факт!AD16*1000</f>
        <v>756236</v>
      </c>
      <c r="AM17" s="605">
        <v>491200</v>
      </c>
      <c r="AN17" s="600">
        <f>[1]Субвенция_факт!AH16*1000</f>
        <v>1017347.89</v>
      </c>
      <c r="AO17" s="601">
        <v>494722</v>
      </c>
      <c r="AR17" s="606"/>
      <c r="AS17" s="607"/>
      <c r="AT17" s="607"/>
      <c r="AU17" s="607"/>
    </row>
    <row r="18" spans="1:47" ht="21" customHeight="1" x14ac:dyDescent="0.25">
      <c r="A18" s="608" t="s">
        <v>1311</v>
      </c>
      <c r="B18" s="609">
        <f t="shared" si="0"/>
        <v>229323202.33000001</v>
      </c>
      <c r="C18" s="609">
        <f t="shared" si="0"/>
        <v>120658945.09</v>
      </c>
      <c r="D18" s="600">
        <f>[1]Субвенция_факт!H18*1000</f>
        <v>7069.15</v>
      </c>
      <c r="E18" s="601">
        <v>0</v>
      </c>
      <c r="F18" s="600">
        <f>[1]Субвенция_факт!I18*1000</f>
        <v>813120</v>
      </c>
      <c r="G18" s="601">
        <v>600000</v>
      </c>
      <c r="H18" s="600">
        <f>[1]Субвенция_факт!J18*1000</f>
        <v>328944</v>
      </c>
      <c r="I18" s="601">
        <v>156002</v>
      </c>
      <c r="J18" s="600">
        <f>[1]Субвенция_факт!K18*1000</f>
        <v>791262.65</v>
      </c>
      <c r="K18" s="601">
        <v>600000</v>
      </c>
      <c r="L18" s="600">
        <f>[1]Субвенция_факт!L18*1000</f>
        <v>4357610.2</v>
      </c>
      <c r="M18" s="601">
        <v>4357610.2</v>
      </c>
      <c r="N18" s="600">
        <f>[1]Субвенция_факт!N18*1000</f>
        <v>2407425.0699999998</v>
      </c>
      <c r="O18" s="601">
        <v>1230000</v>
      </c>
      <c r="P18" s="600">
        <f>[1]Субвенция_факт!O18*1000</f>
        <v>350241.99999999994</v>
      </c>
      <c r="Q18" s="601">
        <v>350242</v>
      </c>
      <c r="R18" s="600">
        <f>[1]Субвенция_факт!R18*1000</f>
        <v>0</v>
      </c>
      <c r="S18" s="601"/>
      <c r="T18" s="600">
        <f>[1]Субвенция_факт!S18*1000</f>
        <v>154187542.00000003</v>
      </c>
      <c r="U18" s="602">
        <v>75000000</v>
      </c>
      <c r="V18" s="600">
        <f>[1]Субвенция_факт!T18*1000</f>
        <v>0</v>
      </c>
      <c r="W18" s="603"/>
      <c r="X18" s="600">
        <f>[1]Субвенция_факт!U18*1000</f>
        <v>54114002</v>
      </c>
      <c r="Y18" s="604">
        <v>35800000</v>
      </c>
      <c r="Z18" s="600">
        <f>[1]Субвенция_факт!V18*1000</f>
        <v>2500</v>
      </c>
      <c r="AA18" s="601">
        <v>0</v>
      </c>
      <c r="AB18" s="600">
        <f>[1]Субвенция_факт!Y18*1000</f>
        <v>7732808.2400000002</v>
      </c>
      <c r="AC18" s="601">
        <v>1080000</v>
      </c>
      <c r="AD18" s="600">
        <f>[1]Субвенция_факт!Z18*1000</f>
        <v>0</v>
      </c>
      <c r="AE18" s="603"/>
      <c r="AF18" s="600">
        <f>[1]Субвенция_факт!AA18*1000</f>
        <v>748422.73</v>
      </c>
      <c r="AG18" s="604">
        <v>360000</v>
      </c>
      <c r="AH18" s="600">
        <f>[1]Субвенция_факт!AB18*1000</f>
        <v>832912</v>
      </c>
      <c r="AI18" s="601">
        <v>244801.19</v>
      </c>
      <c r="AJ18" s="600">
        <f>[1]Субвенция_факт!AC18*1000</f>
        <v>986443</v>
      </c>
      <c r="AK18" s="601"/>
      <c r="AL18" s="600">
        <f>[1]Субвенция_факт!AD18*1000</f>
        <v>734416</v>
      </c>
      <c r="AM18" s="605">
        <v>430000</v>
      </c>
      <c r="AN18" s="600">
        <f>[1]Субвенция_факт!AH18*1000</f>
        <v>928483.29</v>
      </c>
      <c r="AO18" s="601">
        <v>450289.7</v>
      </c>
      <c r="AR18" s="606"/>
      <c r="AS18" s="607"/>
      <c r="AT18" s="607"/>
      <c r="AU18" s="607"/>
    </row>
    <row r="19" spans="1:47" ht="21" customHeight="1" x14ac:dyDescent="0.25">
      <c r="A19" s="608" t="s">
        <v>1312</v>
      </c>
      <c r="B19" s="609">
        <f t="shared" si="0"/>
        <v>529395640.06</v>
      </c>
      <c r="C19" s="609">
        <f t="shared" si="0"/>
        <v>276516990</v>
      </c>
      <c r="D19" s="600">
        <f>[1]Субвенция_факт!H19*1000</f>
        <v>7069.15</v>
      </c>
      <c r="E19" s="601">
        <v>0</v>
      </c>
      <c r="F19" s="600">
        <f>[1]Субвенция_факт!I19*1000</f>
        <v>1051512</v>
      </c>
      <c r="G19" s="601">
        <v>520000</v>
      </c>
      <c r="H19" s="600">
        <f>[1]Субвенция_факт!J19*1000</f>
        <v>238392</v>
      </c>
      <c r="I19" s="601">
        <v>114268</v>
      </c>
      <c r="J19" s="600">
        <f>[1]Субвенция_факт!K19*1000</f>
        <v>1385417.24</v>
      </c>
      <c r="K19" s="601">
        <v>600000</v>
      </c>
      <c r="L19" s="600">
        <f>[1]Субвенция_факт!L19*1000</f>
        <v>11665714.4</v>
      </c>
      <c r="M19" s="601">
        <v>5700000</v>
      </c>
      <c r="N19" s="600">
        <f>[1]Субвенция_факт!N19*1000</f>
        <v>3970843.69</v>
      </c>
      <c r="O19" s="601">
        <v>1800000</v>
      </c>
      <c r="P19" s="600">
        <f>[1]Субвенция_факт!O19*1000</f>
        <v>1251200</v>
      </c>
      <c r="Q19" s="601">
        <v>700000</v>
      </c>
      <c r="R19" s="600">
        <f>[1]Субвенция_факт!R19*1000</f>
        <v>100000</v>
      </c>
      <c r="S19" s="601">
        <v>100000</v>
      </c>
      <c r="T19" s="600">
        <f>[1]Субвенция_факт!S19*1000</f>
        <v>332950054</v>
      </c>
      <c r="U19" s="602">
        <v>172500000</v>
      </c>
      <c r="V19" s="600">
        <f>[1]Субвенция_факт!T19*1000</f>
        <v>0</v>
      </c>
      <c r="W19" s="603"/>
      <c r="X19" s="600">
        <f>[1]Субвенция_факт!U19*1000</f>
        <v>169510511</v>
      </c>
      <c r="Y19" s="604">
        <v>91800000</v>
      </c>
      <c r="Z19" s="600">
        <f>[1]Субвенция_факт!V19*1000</f>
        <v>14000</v>
      </c>
      <c r="AA19" s="601">
        <v>0</v>
      </c>
      <c r="AB19" s="600">
        <f>[1]Субвенция_факт!Y19*1000</f>
        <v>2837482.96</v>
      </c>
      <c r="AC19" s="601">
        <v>1149000</v>
      </c>
      <c r="AD19" s="600">
        <f>[1]Субвенция_факт!Z19*1000</f>
        <v>0</v>
      </c>
      <c r="AE19" s="603"/>
      <c r="AF19" s="600">
        <f>[1]Субвенция_факт!AA19*1000</f>
        <v>728422.73</v>
      </c>
      <c r="AG19" s="604">
        <v>600000</v>
      </c>
      <c r="AH19" s="600">
        <f>[1]Субвенция_факт!AB19*1000</f>
        <v>907914</v>
      </c>
      <c r="AI19" s="601">
        <v>0</v>
      </c>
      <c r="AJ19" s="600">
        <f>[1]Субвенция_факт!AC19*1000</f>
        <v>986443</v>
      </c>
      <c r="AK19" s="601"/>
      <c r="AL19" s="600">
        <f>[1]Субвенция_факт!AD19*1000</f>
        <v>802316</v>
      </c>
      <c r="AM19" s="605">
        <v>453500</v>
      </c>
      <c r="AN19" s="600">
        <f>[1]Субвенция_факт!AH19*1000</f>
        <v>988347.89</v>
      </c>
      <c r="AO19" s="601">
        <v>480222</v>
      </c>
      <c r="AR19" s="606"/>
      <c r="AS19" s="607"/>
      <c r="AT19" s="607"/>
      <c r="AU19" s="607"/>
    </row>
    <row r="20" spans="1:47" ht="21" customHeight="1" x14ac:dyDescent="0.25">
      <c r="A20" s="608" t="s">
        <v>1313</v>
      </c>
      <c r="B20" s="609">
        <f t="shared" si="0"/>
        <v>309902809.49000001</v>
      </c>
      <c r="C20" s="609">
        <f t="shared" si="0"/>
        <v>172817764</v>
      </c>
      <c r="D20" s="600">
        <f>[1]Субвенция_факт!H20*1000</f>
        <v>7069.15</v>
      </c>
      <c r="E20" s="601">
        <v>0</v>
      </c>
      <c r="F20" s="600">
        <f>[1]Субвенция_факт!I20*1000</f>
        <v>1210440</v>
      </c>
      <c r="G20" s="601">
        <v>580000</v>
      </c>
      <c r="H20" s="600">
        <f>[1]Субвенция_факт!J20*1000</f>
        <v>415800</v>
      </c>
      <c r="I20" s="601">
        <v>184800</v>
      </c>
      <c r="J20" s="600">
        <f>[1]Субвенция_факт!K20*1000</f>
        <v>832862.64999999991</v>
      </c>
      <c r="K20" s="601">
        <v>480000</v>
      </c>
      <c r="L20" s="600">
        <f>[1]Субвенция_факт!L20*1000</f>
        <v>5980461.7000000002</v>
      </c>
      <c r="M20" s="601">
        <v>3500000</v>
      </c>
      <c r="N20" s="600">
        <f>[1]Субвенция_факт!N20*1000</f>
        <v>2814143.38</v>
      </c>
      <c r="O20" s="601">
        <v>1200000</v>
      </c>
      <c r="P20" s="600">
        <f>[1]Субвенция_факт!O20*1000</f>
        <v>151142</v>
      </c>
      <c r="Q20" s="601">
        <v>135942</v>
      </c>
      <c r="R20" s="600">
        <f>[1]Субвенция_факт!R20*1000</f>
        <v>50000</v>
      </c>
      <c r="S20" s="601"/>
      <c r="T20" s="600">
        <f>[1]Субвенция_факт!S20*1000</f>
        <v>228317417</v>
      </c>
      <c r="U20" s="602">
        <v>127000000</v>
      </c>
      <c r="V20" s="600">
        <f>[1]Субвенция_факт!T20*1000</f>
        <v>0</v>
      </c>
      <c r="W20" s="603"/>
      <c r="X20" s="600">
        <f>[1]Субвенция_факт!U20*1000</f>
        <v>64374012</v>
      </c>
      <c r="Y20" s="604">
        <v>37000000</v>
      </c>
      <c r="Z20" s="600">
        <f>[1]Субвенция_факт!V20*1000</f>
        <v>8000</v>
      </c>
      <c r="AA20" s="601">
        <v>0</v>
      </c>
      <c r="AB20" s="600">
        <f>[1]Субвенция_факт!Y20*1000</f>
        <v>2877493.99</v>
      </c>
      <c r="AC20" s="601">
        <v>1383000</v>
      </c>
      <c r="AD20" s="600">
        <f>[1]Субвенция_факт!Z20*1000</f>
        <v>0</v>
      </c>
      <c r="AE20" s="603"/>
      <c r="AF20" s="600">
        <f>[1]Субвенция_факт!AA20*1000</f>
        <v>833422.73</v>
      </c>
      <c r="AG20" s="604">
        <v>460000</v>
      </c>
      <c r="AH20" s="600">
        <f>[1]Субвенция_факт!AB20*1000</f>
        <v>339481</v>
      </c>
      <c r="AI20" s="601">
        <v>0</v>
      </c>
      <c r="AJ20" s="600">
        <f>[1]Субвенция_факт!AC20*1000</f>
        <v>0</v>
      </c>
      <c r="AK20" s="601"/>
      <c r="AL20" s="600">
        <f>[1]Субвенция_факт!AD20*1000</f>
        <v>762316</v>
      </c>
      <c r="AM20" s="605">
        <v>443600</v>
      </c>
      <c r="AN20" s="600">
        <f>[1]Субвенция_факт!AH20*1000</f>
        <v>928747.89</v>
      </c>
      <c r="AO20" s="601">
        <v>450422</v>
      </c>
      <c r="AR20" s="606"/>
      <c r="AS20" s="607"/>
      <c r="AT20" s="607"/>
      <c r="AU20" s="607"/>
    </row>
    <row r="21" spans="1:47" ht="21" customHeight="1" x14ac:dyDescent="0.25">
      <c r="A21" s="608" t="s">
        <v>1314</v>
      </c>
      <c r="B21" s="609">
        <f t="shared" si="0"/>
        <v>836190542.13999999</v>
      </c>
      <c r="C21" s="609">
        <f t="shared" si="0"/>
        <v>608007754.39999998</v>
      </c>
      <c r="D21" s="600">
        <f>[1]Субвенция_факт!H21*1000</f>
        <v>7069.15</v>
      </c>
      <c r="E21" s="601">
        <v>0</v>
      </c>
      <c r="F21" s="600">
        <f>[1]Субвенция_факт!I21*1000</f>
        <v>2694384</v>
      </c>
      <c r="G21" s="601">
        <v>1200000</v>
      </c>
      <c r="H21" s="600">
        <f>[1]Субвенция_факт!J21*1000</f>
        <v>510048</v>
      </c>
      <c r="I21" s="601">
        <v>233772</v>
      </c>
      <c r="J21" s="600">
        <f>[1]Субвенция_факт!K21*1000</f>
        <v>1369146.24</v>
      </c>
      <c r="K21" s="601">
        <v>470000</v>
      </c>
      <c r="L21" s="600">
        <f>[1]Субвенция_факт!L21*1000</f>
        <v>15610367.1</v>
      </c>
      <c r="M21" s="601">
        <v>8500000</v>
      </c>
      <c r="N21" s="600">
        <f>[1]Субвенция_факт!N21*1000</f>
        <v>7263982.6900000004</v>
      </c>
      <c r="O21" s="601">
        <v>3200000</v>
      </c>
      <c r="P21" s="600">
        <f>[1]Субвенция_факт!O21*1000</f>
        <v>645829.99999999988</v>
      </c>
      <c r="Q21" s="601">
        <v>619030</v>
      </c>
      <c r="R21" s="600">
        <f>[1]Субвенция_факт!R21*1000</f>
        <v>50000</v>
      </c>
      <c r="S21" s="601"/>
      <c r="T21" s="600">
        <f>[1]Субвенция_факт!S21*1000</f>
        <v>628515381</v>
      </c>
      <c r="U21" s="602">
        <v>435000000</v>
      </c>
      <c r="V21" s="600">
        <f>[1]Субвенция_факт!T21*1000</f>
        <v>0</v>
      </c>
      <c r="W21" s="603"/>
      <c r="X21" s="600">
        <f>[1]Субвенция_факт!U21*1000</f>
        <v>165872117</v>
      </c>
      <c r="Y21" s="604">
        <v>154000000</v>
      </c>
      <c r="Z21" s="600">
        <f>[1]Субвенция_факт!V21*1000</f>
        <v>19000</v>
      </c>
      <c r="AA21" s="601">
        <v>0</v>
      </c>
      <c r="AB21" s="600">
        <f>[1]Субвенция_факт!Y21*1000</f>
        <v>2511367.92</v>
      </c>
      <c r="AC21" s="601">
        <v>1218000</v>
      </c>
      <c r="AD21" s="600">
        <f>[1]Субвенция_факт!Z21*1000</f>
        <v>0</v>
      </c>
      <c r="AE21" s="603"/>
      <c r="AF21" s="600">
        <f>[1]Субвенция_факт!AA21*1000</f>
        <v>1430976.15</v>
      </c>
      <c r="AG21" s="604">
        <v>400000</v>
      </c>
      <c r="AH21" s="600">
        <f>[1]Субвенция_факт!AB21*1000</f>
        <v>4831682</v>
      </c>
      <c r="AI21" s="601">
        <v>2147730.4</v>
      </c>
      <c r="AJ21" s="600">
        <f>[1]Субвенция_факт!AC21*1000</f>
        <v>2959327</v>
      </c>
      <c r="AK21" s="601"/>
      <c r="AL21" s="600">
        <f>[1]Субвенция_факт!AD21*1000</f>
        <v>833516.00000000012</v>
      </c>
      <c r="AM21" s="605">
        <v>500000</v>
      </c>
      <c r="AN21" s="600">
        <f>[1]Субвенция_факт!AH21*1000</f>
        <v>1066347.8899999999</v>
      </c>
      <c r="AO21" s="601">
        <v>519222</v>
      </c>
      <c r="AR21" s="606"/>
      <c r="AS21" s="607"/>
      <c r="AT21" s="607"/>
      <c r="AU21" s="607"/>
    </row>
    <row r="22" spans="1:47" ht="21" customHeight="1" x14ac:dyDescent="0.25">
      <c r="A22" s="608" t="s">
        <v>1315</v>
      </c>
      <c r="B22" s="609">
        <f t="shared" si="0"/>
        <v>373650083.15999997</v>
      </c>
      <c r="C22" s="609">
        <f t="shared" si="0"/>
        <v>243696022</v>
      </c>
      <c r="D22" s="600">
        <f>[1]Субвенция_факт!H23*1000</f>
        <v>7069.15</v>
      </c>
      <c r="E22" s="601">
        <v>0</v>
      </c>
      <c r="F22" s="600">
        <f>[1]Субвенция_факт!I23*1000</f>
        <v>1454376</v>
      </c>
      <c r="G22" s="601">
        <v>690045</v>
      </c>
      <c r="H22" s="600">
        <f>[1]Субвенция_факт!J23*1000</f>
        <v>449064</v>
      </c>
      <c r="I22" s="601">
        <v>193116</v>
      </c>
      <c r="J22" s="600">
        <f>[1]Субвенция_факт!K23*1000</f>
        <v>717062.64999999991</v>
      </c>
      <c r="K22" s="601">
        <v>375000</v>
      </c>
      <c r="L22" s="600">
        <f>[1]Субвенция_факт!L23*1000</f>
        <v>6821993.5999999996</v>
      </c>
      <c r="M22" s="601">
        <v>3000000</v>
      </c>
      <c r="N22" s="600">
        <f>[1]Субвенция_факт!N23*1000</f>
        <v>2789401.63</v>
      </c>
      <c r="O22" s="601">
        <v>1050000</v>
      </c>
      <c r="P22" s="600">
        <f>[1]Субвенция_факт!O23*1000</f>
        <v>513869</v>
      </c>
      <c r="Q22" s="601">
        <v>495949</v>
      </c>
      <c r="R22" s="600">
        <f>[1]Субвенция_факт!R23*1000</f>
        <v>0</v>
      </c>
      <c r="S22" s="601"/>
      <c r="T22" s="600">
        <f>[1]Субвенция_факт!S23*1000</f>
        <v>287235419</v>
      </c>
      <c r="U22" s="602">
        <v>194600000</v>
      </c>
      <c r="V22" s="600">
        <f>[1]Субвенция_факт!T23*1000</f>
        <v>0</v>
      </c>
      <c r="W22" s="603"/>
      <c r="X22" s="600">
        <f>[1]Субвенция_факт!U23*1000</f>
        <v>62761350</v>
      </c>
      <c r="Y22" s="604">
        <v>40300000</v>
      </c>
      <c r="Z22" s="600">
        <f>[1]Субвенция_факт!V23*1000</f>
        <v>1500</v>
      </c>
      <c r="AA22" s="601">
        <v>0</v>
      </c>
      <c r="AB22" s="600">
        <f>[1]Субвенция_факт!Y23*1000</f>
        <v>7497337.5100000007</v>
      </c>
      <c r="AC22" s="601">
        <v>1080000</v>
      </c>
      <c r="AD22" s="600">
        <f>[1]Субвенция_факт!Z23*1000</f>
        <v>0</v>
      </c>
      <c r="AE22" s="603"/>
      <c r="AF22" s="600">
        <f>[1]Субвенция_факт!AA23*1000</f>
        <v>773422.73</v>
      </c>
      <c r="AG22" s="604">
        <v>345000</v>
      </c>
      <c r="AH22" s="600">
        <f>[1]Субвенция_факт!AB23*1000</f>
        <v>892124</v>
      </c>
      <c r="AI22" s="601">
        <v>671840</v>
      </c>
      <c r="AJ22" s="600">
        <f>[1]Субвенция_факт!AC23*1000</f>
        <v>0</v>
      </c>
      <c r="AK22" s="601"/>
      <c r="AL22" s="600">
        <f>[1]Субвенция_факт!AD23*1000</f>
        <v>750046</v>
      </c>
      <c r="AM22" s="605">
        <v>416000</v>
      </c>
      <c r="AN22" s="600">
        <f>[1]Субвенция_факт!AH23*1000</f>
        <v>986047.89</v>
      </c>
      <c r="AO22" s="601">
        <v>479072</v>
      </c>
      <c r="AR22" s="606"/>
      <c r="AS22" s="607"/>
      <c r="AT22" s="607"/>
      <c r="AU22" s="607"/>
    </row>
    <row r="23" spans="1:47" ht="21" customHeight="1" x14ac:dyDescent="0.25">
      <c r="A23" s="608" t="s">
        <v>1316</v>
      </c>
      <c r="B23" s="609">
        <f t="shared" si="0"/>
        <v>573748451.70000005</v>
      </c>
      <c r="C23" s="609">
        <f t="shared" si="0"/>
        <v>475657250.97000003</v>
      </c>
      <c r="D23" s="600">
        <f>[1]Субвенция_факт!H24*1000</f>
        <v>7069.15</v>
      </c>
      <c r="E23" s="601">
        <v>0</v>
      </c>
      <c r="F23" s="600">
        <f>[1]Субвенция_факт!I24*1000</f>
        <v>1130976</v>
      </c>
      <c r="G23" s="601">
        <v>492562</v>
      </c>
      <c r="H23" s="600">
        <f>[1]Субвенция_факт!J24*1000</f>
        <v>340032</v>
      </c>
      <c r="I23" s="601">
        <v>135982</v>
      </c>
      <c r="J23" s="600">
        <f>[1]Субвенция_факт!K24*1000</f>
        <v>1628217.24</v>
      </c>
      <c r="K23" s="601">
        <v>780000</v>
      </c>
      <c r="L23" s="600">
        <f>[1]Субвенция_факт!L24*1000</f>
        <v>13836092.300000001</v>
      </c>
      <c r="M23" s="601">
        <v>13200000</v>
      </c>
      <c r="N23" s="600">
        <f>[1]Субвенция_факт!N24*1000</f>
        <v>4840099.28</v>
      </c>
      <c r="O23" s="601">
        <v>2500000</v>
      </c>
      <c r="P23" s="600">
        <f>[1]Субвенция_факт!O24*1000</f>
        <v>559593.00000000012</v>
      </c>
      <c r="Q23" s="601">
        <v>559593</v>
      </c>
      <c r="R23" s="600">
        <f>[1]Субвенция_факт!R24*1000</f>
        <v>100000</v>
      </c>
      <c r="S23" s="601"/>
      <c r="T23" s="600">
        <f>[1]Субвенция_факт!S24*1000</f>
        <v>378194089.00000006</v>
      </c>
      <c r="U23" s="602">
        <v>325000000</v>
      </c>
      <c r="V23" s="600">
        <f>[1]Субвенция_факт!T24*1000</f>
        <v>0</v>
      </c>
      <c r="W23" s="603"/>
      <c r="X23" s="600">
        <f>[1]Субвенция_факт!U24*1000</f>
        <v>165381532</v>
      </c>
      <c r="Y23" s="604">
        <v>130000000</v>
      </c>
      <c r="Z23" s="600">
        <f>[1]Субвенция_факт!V24*1000</f>
        <v>11500</v>
      </c>
      <c r="AA23" s="601">
        <v>0</v>
      </c>
      <c r="AB23" s="600">
        <f>[1]Субвенция_факт!Y24*1000</f>
        <v>2990152.87</v>
      </c>
      <c r="AC23" s="601">
        <v>1455000</v>
      </c>
      <c r="AD23" s="600">
        <f>[1]Субвенция_факт!Z24*1000</f>
        <v>0</v>
      </c>
      <c r="AE23" s="603"/>
      <c r="AF23" s="600">
        <f>[1]Субвенция_факт!AA24*1000</f>
        <v>763422.73</v>
      </c>
      <c r="AG23" s="604">
        <v>320000</v>
      </c>
      <c r="AH23" s="600">
        <f>[1]Субвенция_факт!AB24*1000</f>
        <v>1128971</v>
      </c>
      <c r="AI23" s="601">
        <v>0</v>
      </c>
      <c r="AJ23" s="600">
        <f>[1]Субвенция_факт!AC24*1000</f>
        <v>986443</v>
      </c>
      <c r="AK23" s="601">
        <v>273092.84999999998</v>
      </c>
      <c r="AL23" s="600">
        <f>[1]Субвенция_факт!AD24*1000</f>
        <v>753516.00000000012</v>
      </c>
      <c r="AM23" s="605">
        <v>406600</v>
      </c>
      <c r="AN23" s="600">
        <f>[1]Субвенция_факт!AH24*1000</f>
        <v>1096746.1299999999</v>
      </c>
      <c r="AO23" s="601">
        <v>534421.12</v>
      </c>
      <c r="AR23" s="606"/>
      <c r="AS23" s="607"/>
      <c r="AT23" s="607"/>
      <c r="AU23" s="607"/>
    </row>
    <row r="24" spans="1:47" ht="21" customHeight="1" x14ac:dyDescent="0.25">
      <c r="A24" s="608" t="s">
        <v>1317</v>
      </c>
      <c r="B24" s="609">
        <f t="shared" si="0"/>
        <v>288079386.64000005</v>
      </c>
      <c r="C24" s="609">
        <f t="shared" si="0"/>
        <v>185325647.25999999</v>
      </c>
      <c r="D24" s="600">
        <f>[1]Субвенция_факт!H25*1000</f>
        <v>7069.15</v>
      </c>
      <c r="E24" s="601">
        <v>0</v>
      </c>
      <c r="F24" s="600">
        <f>[1]Субвенция_факт!I25*1000</f>
        <v>1469160</v>
      </c>
      <c r="G24" s="601">
        <v>750000</v>
      </c>
      <c r="H24" s="600">
        <f>[1]Субвенция_факт!J25*1000</f>
        <v>511896</v>
      </c>
      <c r="I24" s="601">
        <v>210786.26</v>
      </c>
      <c r="J24" s="600">
        <f>[1]Субвенция_факт!K25*1000</f>
        <v>743862.64999999991</v>
      </c>
      <c r="K24" s="601">
        <v>400000</v>
      </c>
      <c r="L24" s="600">
        <f>[1]Субвенция_факт!L25*1000</f>
        <v>5521571.2000000002</v>
      </c>
      <c r="M24" s="601">
        <v>2400000</v>
      </c>
      <c r="N24" s="600">
        <f>[1]Субвенция_факт!N25*1000</f>
        <v>2769489.53</v>
      </c>
      <c r="O24" s="601">
        <v>1200000</v>
      </c>
      <c r="P24" s="600">
        <f>[1]Субвенция_факт!O25*1000</f>
        <v>205329</v>
      </c>
      <c r="Q24" s="601">
        <v>170879</v>
      </c>
      <c r="R24" s="600">
        <f>[1]Субвенция_факт!R25*1000</f>
        <v>0</v>
      </c>
      <c r="S24" s="601"/>
      <c r="T24" s="600">
        <f>[1]Субвенция_факт!S25*1000</f>
        <v>222224316</v>
      </c>
      <c r="U24" s="602">
        <v>145000000</v>
      </c>
      <c r="V24" s="600">
        <f>[1]Субвенция_факт!T25*1000</f>
        <v>0</v>
      </c>
      <c r="W24" s="603"/>
      <c r="X24" s="600">
        <f>[1]Субвенция_факт!U25*1000</f>
        <v>47897647.000000007</v>
      </c>
      <c r="Y24" s="604">
        <v>32000000</v>
      </c>
      <c r="Z24" s="600">
        <f>[1]Субвенция_факт!V25*1000</f>
        <v>3000</v>
      </c>
      <c r="AA24" s="601">
        <v>0</v>
      </c>
      <c r="AB24" s="600">
        <f>[1]Субвенция_факт!Y25*1000</f>
        <v>2484997.4900000002</v>
      </c>
      <c r="AC24" s="601">
        <v>1236000</v>
      </c>
      <c r="AD24" s="600">
        <f>[1]Субвенция_факт!Z25*1000</f>
        <v>0</v>
      </c>
      <c r="AE24" s="603"/>
      <c r="AF24" s="600">
        <f>[1]Субвенция_факт!AA25*1000</f>
        <v>793422.73</v>
      </c>
      <c r="AG24" s="604">
        <v>450000</v>
      </c>
      <c r="AH24" s="600">
        <f>[1]Субвенция_факт!AB25*1000</f>
        <v>730279</v>
      </c>
      <c r="AI24" s="601">
        <v>592730</v>
      </c>
      <c r="AJ24" s="600">
        <f>[1]Субвенция_факт!AC25*1000</f>
        <v>986443</v>
      </c>
      <c r="AK24" s="601"/>
      <c r="AL24" s="600">
        <f>[1]Субвенция_факт!AD25*1000</f>
        <v>752496</v>
      </c>
      <c r="AM24" s="605">
        <v>440000</v>
      </c>
      <c r="AN24" s="600">
        <f>[1]Субвенция_факт!AH25*1000</f>
        <v>978407.8899999999</v>
      </c>
      <c r="AO24" s="601">
        <v>475252</v>
      </c>
      <c r="AR24" s="606"/>
      <c r="AS24" s="607"/>
      <c r="AT24" s="607"/>
      <c r="AU24" s="607"/>
    </row>
    <row r="25" spans="1:47" ht="21" customHeight="1" x14ac:dyDescent="0.25">
      <c r="A25" s="608" t="s">
        <v>1318</v>
      </c>
      <c r="B25" s="609">
        <f t="shared" si="0"/>
        <v>410897698.43000001</v>
      </c>
      <c r="C25" s="609">
        <f t="shared" si="0"/>
        <v>209037196.96000001</v>
      </c>
      <c r="D25" s="600">
        <f>[1]Субвенция_факт!H26*1000</f>
        <v>7069.15</v>
      </c>
      <c r="E25" s="601">
        <v>0</v>
      </c>
      <c r="F25" s="600">
        <f>[1]Субвенция_факт!I26*1000</f>
        <v>914760</v>
      </c>
      <c r="G25" s="601">
        <v>380000</v>
      </c>
      <c r="H25" s="600">
        <f>[1]Субвенция_факт!J26*1000</f>
        <v>258720.00000000003</v>
      </c>
      <c r="I25" s="601">
        <v>95249</v>
      </c>
      <c r="J25" s="600">
        <f>[1]Субвенция_факт!K26*1000</f>
        <v>1467407.24</v>
      </c>
      <c r="K25" s="601">
        <v>870000</v>
      </c>
      <c r="L25" s="600">
        <f>[1]Субвенция_факт!L26*1000</f>
        <v>11501487.6</v>
      </c>
      <c r="M25" s="601">
        <v>4350000</v>
      </c>
      <c r="N25" s="600">
        <f>[1]Субвенция_факт!N26*1000</f>
        <v>3542281.79</v>
      </c>
      <c r="O25" s="601">
        <v>2700000</v>
      </c>
      <c r="P25" s="600">
        <f>[1]Субвенция_факт!O26*1000</f>
        <v>272000</v>
      </c>
      <c r="Q25" s="601">
        <v>115000</v>
      </c>
      <c r="R25" s="600">
        <f>[1]Субвенция_факт!R26*1000</f>
        <v>50000</v>
      </c>
      <c r="S25" s="601"/>
      <c r="T25" s="600">
        <f>[1]Субвенция_факт!S26*1000</f>
        <v>288375692.00000006</v>
      </c>
      <c r="U25" s="602">
        <v>148000000</v>
      </c>
      <c r="V25" s="600">
        <f>[1]Субвенция_факт!T26*1000</f>
        <v>0</v>
      </c>
      <c r="W25" s="603"/>
      <c r="X25" s="600">
        <f>[1]Субвенция_факт!U26*1000</f>
        <v>92446690.999999985</v>
      </c>
      <c r="Y25" s="604">
        <v>45000000</v>
      </c>
      <c r="Z25" s="600">
        <f>[1]Субвенция_факт!V26*1000</f>
        <v>5500</v>
      </c>
      <c r="AA25" s="601">
        <v>0</v>
      </c>
      <c r="AB25" s="600">
        <f>[1]Субвенция_факт!Y26*1000</f>
        <v>6702851.0300000003</v>
      </c>
      <c r="AC25" s="601">
        <v>5691025</v>
      </c>
      <c r="AD25" s="600">
        <f>[1]Субвенция_факт!Z26*1000</f>
        <v>0</v>
      </c>
      <c r="AE25" s="603"/>
      <c r="AF25" s="600">
        <f>[1]Субвенция_факт!AA26*1000</f>
        <v>879422.73</v>
      </c>
      <c r="AG25" s="604">
        <v>560000</v>
      </c>
      <c r="AH25" s="600">
        <f>[1]Субвенция_факт!AB26*1000</f>
        <v>671067</v>
      </c>
      <c r="AI25" s="601">
        <v>229600.96</v>
      </c>
      <c r="AJ25" s="600">
        <f>[1]Субвенция_факт!AC26*1000</f>
        <v>1972885</v>
      </c>
      <c r="AK25" s="601"/>
      <c r="AL25" s="600">
        <f>[1]Субвенция_факт!AD26*1000</f>
        <v>769316</v>
      </c>
      <c r="AM25" s="605">
        <v>530000</v>
      </c>
      <c r="AN25" s="600">
        <f>[1]Субвенция_факт!AH26*1000</f>
        <v>1060547.8899999999</v>
      </c>
      <c r="AO25" s="601">
        <v>516322</v>
      </c>
      <c r="AR25" s="606"/>
      <c r="AS25" s="607"/>
      <c r="AT25" s="607"/>
      <c r="AU25" s="607"/>
    </row>
    <row r="26" spans="1:47" ht="21" customHeight="1" x14ac:dyDescent="0.25">
      <c r="A26" s="608" t="s">
        <v>1320</v>
      </c>
      <c r="B26" s="609">
        <f t="shared" si="0"/>
        <v>6714526268.3299999</v>
      </c>
      <c r="C26" s="609">
        <f t="shared" si="0"/>
        <v>3698954681.3200002</v>
      </c>
      <c r="D26" s="600">
        <f>[1]Субвенция_факт!H30*1000</f>
        <v>402941.56</v>
      </c>
      <c r="E26" s="601">
        <v>267565.8</v>
      </c>
      <c r="F26" s="600">
        <f>[1]Субвенция_факт!I30*1000</f>
        <v>0</v>
      </c>
      <c r="G26" s="601"/>
      <c r="H26" s="600">
        <f>[1]Субвенция_факт!J30*1000</f>
        <v>0</v>
      </c>
      <c r="I26" s="601"/>
      <c r="J26" s="600">
        <f>[1]Субвенция_факт!K30*1000</f>
        <v>8031080.6999999993</v>
      </c>
      <c r="K26" s="601">
        <v>4050000</v>
      </c>
      <c r="L26" s="600">
        <f>[1]Субвенция_факт!L30*1000</f>
        <v>157266530.5</v>
      </c>
      <c r="M26" s="601">
        <v>78456326</v>
      </c>
      <c r="N26" s="600">
        <f>[1]Субвенция_факт!N30*1000</f>
        <v>33756052.43</v>
      </c>
      <c r="O26" s="601">
        <v>18156280</v>
      </c>
      <c r="P26" s="600">
        <f>[1]Субвенция_факт!O30*1000</f>
        <v>5006000</v>
      </c>
      <c r="Q26" s="601">
        <v>4538194</v>
      </c>
      <c r="R26" s="600">
        <f>[1]Субвенция_факт!R30*1000</f>
        <v>850000</v>
      </c>
      <c r="S26" s="601">
        <v>350000</v>
      </c>
      <c r="T26" s="600">
        <f>[1]Субвенция_факт!S30*1000</f>
        <v>3701216279</v>
      </c>
      <c r="U26" s="602">
        <v>2143996607</v>
      </c>
      <c r="V26" s="600">
        <f>[1]Субвенция_факт!T30*1000</f>
        <v>36674058.000000007</v>
      </c>
      <c r="W26" s="603">
        <v>21700000</v>
      </c>
      <c r="X26" s="600">
        <f>[1]Субвенция_факт!U30*1000</f>
        <v>2730441935.9999995</v>
      </c>
      <c r="Y26" s="604">
        <v>1405047000</v>
      </c>
      <c r="Z26" s="600">
        <f>[1]Субвенция_факт!V30*1000</f>
        <v>65500</v>
      </c>
      <c r="AA26" s="601">
        <v>0</v>
      </c>
      <c r="AB26" s="600">
        <f>[1]Субвенция_факт!Y30*1000</f>
        <v>11628812.869999999</v>
      </c>
      <c r="AC26" s="601">
        <v>6650000</v>
      </c>
      <c r="AD26" s="600">
        <f>[1]Субвенция_факт!Z30*1000</f>
        <v>9270000</v>
      </c>
      <c r="AE26" s="603">
        <v>9270000</v>
      </c>
      <c r="AF26" s="600">
        <f>[1]Субвенция_факт!AA30*1000</f>
        <v>7271119.2700000005</v>
      </c>
      <c r="AG26" s="604">
        <v>3750000</v>
      </c>
      <c r="AH26" s="600">
        <f>[1]Субвенция_факт!AB30*1000</f>
        <v>10744966</v>
      </c>
      <c r="AI26" s="601">
        <v>1452708.52</v>
      </c>
      <c r="AJ26" s="600">
        <f>[1]Субвенция_факт!AC30*1000</f>
        <v>0</v>
      </c>
      <c r="AK26" s="601"/>
      <c r="AL26" s="600">
        <f>[1]Субвенция_факт!AD30*1000</f>
        <v>1900992</v>
      </c>
      <c r="AM26" s="605">
        <v>1270000</v>
      </c>
      <c r="AN26" s="600">
        <f>[1]Субвенция_факт!AH30*1000</f>
        <v>0</v>
      </c>
      <c r="AO26" s="601"/>
      <c r="AP26" s="610"/>
      <c r="AR26" s="606"/>
      <c r="AS26" s="607"/>
      <c r="AT26" s="607"/>
      <c r="AU26" s="607"/>
    </row>
    <row r="27" spans="1:47" ht="21" customHeight="1" x14ac:dyDescent="0.25">
      <c r="A27" s="608" t="s">
        <v>1319</v>
      </c>
      <c r="B27" s="609">
        <f t="shared" si="0"/>
        <v>1141663741.9499998</v>
      </c>
      <c r="C27" s="609">
        <f t="shared" si="0"/>
        <v>613708276.47000003</v>
      </c>
      <c r="D27" s="600">
        <f>[1]Субвенция_факт!H29*1000</f>
        <v>42414.9</v>
      </c>
      <c r="E27" s="601">
        <v>0</v>
      </c>
      <c r="F27" s="600">
        <f>[1]Субвенция_факт!I29*1000</f>
        <v>0</v>
      </c>
      <c r="G27" s="601"/>
      <c r="H27" s="600">
        <f>[1]Субвенция_факт!J29*1000</f>
        <v>0</v>
      </c>
      <c r="I27" s="601"/>
      <c r="J27" s="600">
        <f>[1]Субвенция_факт!K29*1000</f>
        <v>1464972.2900000003</v>
      </c>
      <c r="K27" s="601">
        <v>850000</v>
      </c>
      <c r="L27" s="600">
        <f>[1]Субвенция_факт!L29*1000</f>
        <v>29274831</v>
      </c>
      <c r="M27" s="601">
        <v>20500000</v>
      </c>
      <c r="N27" s="600">
        <f>[1]Субвенция_факт!N29*1000</f>
        <v>6330358.3499999996</v>
      </c>
      <c r="O27" s="601">
        <v>2600000</v>
      </c>
      <c r="P27" s="600">
        <f>[1]Субвенция_факт!O29*1000</f>
        <v>743040</v>
      </c>
      <c r="Q27" s="601">
        <v>743040</v>
      </c>
      <c r="R27" s="600">
        <f>[1]Субвенция_факт!R29*1000</f>
        <v>350000</v>
      </c>
      <c r="S27" s="601">
        <v>100000</v>
      </c>
      <c r="T27" s="600">
        <f>[1]Субвенция_факт!S29*1000</f>
        <v>594861288.99999988</v>
      </c>
      <c r="U27" s="602">
        <v>325000000</v>
      </c>
      <c r="V27" s="600">
        <f>[1]Субвенция_факт!T29*1000</f>
        <v>15887560.000000002</v>
      </c>
      <c r="W27" s="603">
        <v>8500000</v>
      </c>
      <c r="X27" s="600">
        <f>[1]Субвенция_факт!U29*1000</f>
        <v>471687747.99999988</v>
      </c>
      <c r="Y27" s="604">
        <v>250000000</v>
      </c>
      <c r="Z27" s="600">
        <f>[1]Субвенция_факт!V29*1000</f>
        <v>29000</v>
      </c>
      <c r="AA27" s="601">
        <v>0</v>
      </c>
      <c r="AB27" s="600">
        <f>[1]Субвенция_факт!Y29*1000</f>
        <v>4657993.7799999993</v>
      </c>
      <c r="AC27" s="601">
        <v>2250000</v>
      </c>
      <c r="AD27" s="600">
        <f>[1]Субвенция_факт!Z29*1000</f>
        <v>5000000</v>
      </c>
      <c r="AE27" s="603">
        <v>0</v>
      </c>
      <c r="AF27" s="600">
        <f>[1]Субвенция_факт!AA29*1000</f>
        <v>1676162.6300000001</v>
      </c>
      <c r="AG27" s="604">
        <v>770000</v>
      </c>
      <c r="AH27" s="600">
        <f>[1]Субвенция_факт!AB29*1000</f>
        <v>8131752</v>
      </c>
      <c r="AI27" s="601">
        <v>1605236.47</v>
      </c>
      <c r="AJ27" s="600">
        <f>[1]Субвенция_факт!AC29*1000</f>
        <v>0</v>
      </c>
      <c r="AK27" s="601"/>
      <c r="AL27" s="600">
        <f>[1]Субвенция_факт!AD29*1000</f>
        <v>1526620.0000000002</v>
      </c>
      <c r="AM27" s="605">
        <v>790000</v>
      </c>
      <c r="AN27" s="600">
        <f>[1]Субвенция_факт!AH29*1000</f>
        <v>0</v>
      </c>
      <c r="AO27" s="601"/>
      <c r="AP27" s="610"/>
      <c r="AR27" s="606"/>
      <c r="AS27" s="607"/>
      <c r="AT27" s="607"/>
      <c r="AU27" s="607"/>
    </row>
    <row r="28" spans="1:47" s="614" customFormat="1" ht="21" customHeight="1" x14ac:dyDescent="0.25">
      <c r="A28" s="611" t="s">
        <v>340</v>
      </c>
      <c r="B28" s="609">
        <f t="shared" ref="B28:AO28" si="2">SUM(B8:B27)</f>
        <v>15389819869.560001</v>
      </c>
      <c r="C28" s="609">
        <f t="shared" si="2"/>
        <v>8851938095.6000004</v>
      </c>
      <c r="D28" s="609">
        <f t="shared" si="2"/>
        <v>572601.16</v>
      </c>
      <c r="E28" s="609">
        <f t="shared" si="2"/>
        <v>267565.8</v>
      </c>
      <c r="F28" s="609">
        <f t="shared" si="2"/>
        <v>22338624</v>
      </c>
      <c r="G28" s="609">
        <f t="shared" si="2"/>
        <v>10553993</v>
      </c>
      <c r="H28" s="609">
        <f t="shared" si="2"/>
        <v>6253630</v>
      </c>
      <c r="I28" s="609">
        <f t="shared" si="2"/>
        <v>2824238.13</v>
      </c>
      <c r="J28" s="609">
        <f t="shared" si="2"/>
        <v>29202339.999999996</v>
      </c>
      <c r="K28" s="609">
        <f t="shared" si="2"/>
        <v>15334965</v>
      </c>
      <c r="L28" s="609">
        <f t="shared" si="2"/>
        <v>348766170</v>
      </c>
      <c r="M28" s="609">
        <f t="shared" si="2"/>
        <v>198665313.19999999</v>
      </c>
      <c r="N28" s="609">
        <f t="shared" si="2"/>
        <v>106508440</v>
      </c>
      <c r="O28" s="609">
        <f t="shared" si="2"/>
        <v>55096993</v>
      </c>
      <c r="P28" s="609">
        <f t="shared" si="2"/>
        <v>13319576</v>
      </c>
      <c r="Q28" s="609">
        <f t="shared" si="2"/>
        <v>10966460</v>
      </c>
      <c r="R28" s="609">
        <f t="shared" si="2"/>
        <v>2100000</v>
      </c>
      <c r="S28" s="609">
        <f t="shared" si="2"/>
        <v>550000</v>
      </c>
      <c r="T28" s="609">
        <f t="shared" si="2"/>
        <v>9644402549</v>
      </c>
      <c r="U28" s="612">
        <f t="shared" si="2"/>
        <v>5722340607</v>
      </c>
      <c r="V28" s="609">
        <f t="shared" si="2"/>
        <v>52561618.000000007</v>
      </c>
      <c r="W28" s="609">
        <f t="shared" si="2"/>
        <v>30200000</v>
      </c>
      <c r="X28" s="609">
        <f t="shared" si="2"/>
        <v>4945491450</v>
      </c>
      <c r="Y28" s="609">
        <f t="shared" si="2"/>
        <v>2714702000</v>
      </c>
      <c r="Z28" s="609">
        <f t="shared" si="2"/>
        <v>203500</v>
      </c>
      <c r="AA28" s="609">
        <f t="shared" si="2"/>
        <v>4500</v>
      </c>
      <c r="AB28" s="609">
        <f t="shared" si="2"/>
        <v>92187768.360000014</v>
      </c>
      <c r="AC28" s="609">
        <f t="shared" si="2"/>
        <v>39754245</v>
      </c>
      <c r="AD28" s="609">
        <f t="shared" si="2"/>
        <v>14270000</v>
      </c>
      <c r="AE28" s="609">
        <f t="shared" si="2"/>
        <v>9270000</v>
      </c>
      <c r="AF28" s="609">
        <f t="shared" si="2"/>
        <v>24727150.000000004</v>
      </c>
      <c r="AG28" s="609">
        <f t="shared" si="2"/>
        <v>12400059.73</v>
      </c>
      <c r="AH28" s="609">
        <f t="shared" si="2"/>
        <v>39474526</v>
      </c>
      <c r="AI28" s="609">
        <f t="shared" si="2"/>
        <v>11310360.07</v>
      </c>
      <c r="AJ28" s="609">
        <f t="shared" si="2"/>
        <v>15783083</v>
      </c>
      <c r="AK28" s="609">
        <f t="shared" si="2"/>
        <v>273092.84999999998</v>
      </c>
      <c r="AL28" s="609">
        <f t="shared" si="2"/>
        <v>17655580</v>
      </c>
      <c r="AM28" s="613">
        <f t="shared" si="2"/>
        <v>10618400</v>
      </c>
      <c r="AN28" s="609">
        <f t="shared" si="2"/>
        <v>14001264.040000003</v>
      </c>
      <c r="AO28" s="609">
        <f t="shared" si="2"/>
        <v>6805302.8200000003</v>
      </c>
      <c r="AR28" s="606"/>
      <c r="AS28" s="607"/>
      <c r="AT28" s="607"/>
      <c r="AU28" s="607"/>
    </row>
    <row r="29" spans="1:47" x14ac:dyDescent="0.25">
      <c r="B29" s="615"/>
      <c r="C29" s="615"/>
      <c r="D29" s="615"/>
      <c r="E29" s="615"/>
      <c r="F29" s="615"/>
      <c r="G29" s="615"/>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5"/>
      <c r="AO29" s="615"/>
      <c r="AR29" s="606"/>
      <c r="AS29" s="607"/>
      <c r="AT29" s="607"/>
      <c r="AU29" s="607"/>
    </row>
    <row r="30" spans="1:47" x14ac:dyDescent="0.25">
      <c r="B30" s="615"/>
      <c r="C30" s="615"/>
      <c r="D30" s="615"/>
      <c r="E30" s="615"/>
      <c r="F30" s="615"/>
      <c r="G30" s="615"/>
      <c r="H30" s="615"/>
      <c r="I30" s="615"/>
      <c r="J30" s="615"/>
      <c r="K30" s="615"/>
      <c r="L30" s="615"/>
      <c r="M30" s="615"/>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615"/>
      <c r="AL30" s="615"/>
      <c r="AM30" s="615"/>
      <c r="AN30" s="615"/>
      <c r="AO30" s="615"/>
      <c r="AR30" s="606"/>
      <c r="AS30" s="607"/>
      <c r="AT30" s="607"/>
      <c r="AU30" s="607"/>
    </row>
    <row r="31" spans="1:47" s="591" customFormat="1" x14ac:dyDescent="0.25">
      <c r="A31" s="616" t="s">
        <v>764</v>
      </c>
      <c r="B31" s="617">
        <f>B26+B27</f>
        <v>7856190010.2799997</v>
      </c>
      <c r="C31" s="617">
        <f t="shared" ref="C31:AO31" si="3">C26+C27</f>
        <v>4312662957.79</v>
      </c>
      <c r="D31" s="617">
        <f t="shared" si="3"/>
        <v>445356.46</v>
      </c>
      <c r="E31" s="617">
        <f t="shared" si="3"/>
        <v>267565.8</v>
      </c>
      <c r="F31" s="617">
        <f t="shared" si="3"/>
        <v>0</v>
      </c>
      <c r="G31" s="617">
        <f t="shared" si="3"/>
        <v>0</v>
      </c>
      <c r="H31" s="617">
        <f t="shared" si="3"/>
        <v>0</v>
      </c>
      <c r="I31" s="617">
        <f t="shared" si="3"/>
        <v>0</v>
      </c>
      <c r="J31" s="617">
        <f t="shared" si="3"/>
        <v>9496052.9900000002</v>
      </c>
      <c r="K31" s="617">
        <f t="shared" si="3"/>
        <v>4900000</v>
      </c>
      <c r="L31" s="617">
        <f t="shared" si="3"/>
        <v>186541361.5</v>
      </c>
      <c r="M31" s="617">
        <f t="shared" si="3"/>
        <v>98956326</v>
      </c>
      <c r="N31" s="617">
        <f t="shared" si="3"/>
        <v>40086410.780000001</v>
      </c>
      <c r="O31" s="617">
        <f t="shared" si="3"/>
        <v>20756280</v>
      </c>
      <c r="P31" s="617">
        <f t="shared" si="3"/>
        <v>5749040</v>
      </c>
      <c r="Q31" s="617">
        <f t="shared" si="3"/>
        <v>5281234</v>
      </c>
      <c r="R31" s="617">
        <f t="shared" si="3"/>
        <v>1200000</v>
      </c>
      <c r="S31" s="617">
        <f t="shared" si="3"/>
        <v>450000</v>
      </c>
      <c r="T31" s="617">
        <f t="shared" si="3"/>
        <v>4296077568</v>
      </c>
      <c r="U31" s="617">
        <f t="shared" si="3"/>
        <v>2468996607</v>
      </c>
      <c r="V31" s="617">
        <f t="shared" si="3"/>
        <v>52561618.000000007</v>
      </c>
      <c r="W31" s="617">
        <f t="shared" si="3"/>
        <v>30200000</v>
      </c>
      <c r="X31" s="617">
        <f t="shared" si="3"/>
        <v>3202129683.9999995</v>
      </c>
      <c r="Y31" s="617">
        <f t="shared" si="3"/>
        <v>1655047000</v>
      </c>
      <c r="Z31" s="617">
        <f t="shared" si="3"/>
        <v>94500</v>
      </c>
      <c r="AA31" s="617">
        <f t="shared" si="3"/>
        <v>0</v>
      </c>
      <c r="AB31" s="617">
        <f t="shared" si="3"/>
        <v>16286806.649999999</v>
      </c>
      <c r="AC31" s="617">
        <f t="shared" si="3"/>
        <v>8900000</v>
      </c>
      <c r="AD31" s="617">
        <f t="shared" si="3"/>
        <v>14270000</v>
      </c>
      <c r="AE31" s="617">
        <f t="shared" si="3"/>
        <v>9270000</v>
      </c>
      <c r="AF31" s="617">
        <f t="shared" si="3"/>
        <v>8947281.9000000004</v>
      </c>
      <c r="AG31" s="617">
        <f t="shared" si="3"/>
        <v>4520000</v>
      </c>
      <c r="AH31" s="617">
        <f t="shared" si="3"/>
        <v>18876718</v>
      </c>
      <c r="AI31" s="617">
        <f t="shared" si="3"/>
        <v>3057944.99</v>
      </c>
      <c r="AJ31" s="617">
        <f t="shared" si="3"/>
        <v>0</v>
      </c>
      <c r="AK31" s="617">
        <f t="shared" si="3"/>
        <v>0</v>
      </c>
      <c r="AL31" s="617">
        <f t="shared" si="3"/>
        <v>3427612</v>
      </c>
      <c r="AM31" s="617">
        <f t="shared" si="3"/>
        <v>2060000</v>
      </c>
      <c r="AN31" s="617">
        <f t="shared" si="3"/>
        <v>0</v>
      </c>
      <c r="AO31" s="617">
        <f t="shared" si="3"/>
        <v>0</v>
      </c>
      <c r="AR31" s="606"/>
      <c r="AS31" s="618"/>
      <c r="AT31" s="618"/>
      <c r="AU31" s="618"/>
    </row>
    <row r="32" spans="1:47" s="591" customFormat="1" x14ac:dyDescent="0.25">
      <c r="A32" s="616" t="s">
        <v>895</v>
      </c>
      <c r="B32" s="617">
        <f t="shared" ref="B32:AO32" si="4">SUM(B8:B25)-B33</f>
        <v>6382168060.0300007</v>
      </c>
      <c r="C32" s="617">
        <f t="shared" si="4"/>
        <v>3919439935.8100004</v>
      </c>
      <c r="D32" s="617">
        <f t="shared" si="4"/>
        <v>98968.099999999948</v>
      </c>
      <c r="E32" s="617">
        <f t="shared" si="4"/>
        <v>0</v>
      </c>
      <c r="F32" s="617">
        <f t="shared" si="4"/>
        <v>17557848</v>
      </c>
      <c r="G32" s="617">
        <f t="shared" si="4"/>
        <v>8211963</v>
      </c>
      <c r="H32" s="617">
        <f t="shared" si="4"/>
        <v>4858390</v>
      </c>
      <c r="I32" s="617">
        <f t="shared" si="4"/>
        <v>2147353.13</v>
      </c>
      <c r="J32" s="617">
        <f t="shared" si="4"/>
        <v>16745356.409999998</v>
      </c>
      <c r="K32" s="617">
        <f t="shared" si="4"/>
        <v>8671000</v>
      </c>
      <c r="L32" s="617">
        <f t="shared" si="4"/>
        <v>141434645.99999997</v>
      </c>
      <c r="M32" s="617">
        <f t="shared" si="4"/>
        <v>88647307.200000003</v>
      </c>
      <c r="N32" s="617">
        <f t="shared" si="4"/>
        <v>55766749.74000001</v>
      </c>
      <c r="O32" s="617">
        <f t="shared" si="4"/>
        <v>28205655</v>
      </c>
      <c r="P32" s="617">
        <f t="shared" si="4"/>
        <v>6722332</v>
      </c>
      <c r="Q32" s="617">
        <f t="shared" si="4"/>
        <v>4970322</v>
      </c>
      <c r="R32" s="617">
        <f t="shared" si="4"/>
        <v>800000</v>
      </c>
      <c r="S32" s="617">
        <f t="shared" si="4"/>
        <v>100000</v>
      </c>
      <c r="T32" s="617">
        <f t="shared" si="4"/>
        <v>4508553471</v>
      </c>
      <c r="U32" s="617">
        <f t="shared" si="4"/>
        <v>2789997000</v>
      </c>
      <c r="V32" s="617">
        <f t="shared" si="4"/>
        <v>0</v>
      </c>
      <c r="W32" s="617">
        <f t="shared" si="4"/>
        <v>0</v>
      </c>
      <c r="X32" s="617">
        <f t="shared" si="4"/>
        <v>1503629199</v>
      </c>
      <c r="Y32" s="617">
        <f t="shared" si="4"/>
        <v>940255000</v>
      </c>
      <c r="Z32" s="617">
        <f t="shared" si="4"/>
        <v>96500</v>
      </c>
      <c r="AA32" s="617">
        <f t="shared" si="4"/>
        <v>4000</v>
      </c>
      <c r="AB32" s="617">
        <f t="shared" si="4"/>
        <v>55806388.56000001</v>
      </c>
      <c r="AC32" s="617">
        <f t="shared" si="4"/>
        <v>20429025</v>
      </c>
      <c r="AD32" s="617">
        <f t="shared" si="4"/>
        <v>0</v>
      </c>
      <c r="AE32" s="617">
        <f t="shared" si="4"/>
        <v>0</v>
      </c>
      <c r="AF32" s="617">
        <f t="shared" si="4"/>
        <v>12661177.180000005</v>
      </c>
      <c r="AG32" s="617">
        <f t="shared" si="4"/>
        <v>6180059.7300000004</v>
      </c>
      <c r="AH32" s="617">
        <f t="shared" si="4"/>
        <v>18568818</v>
      </c>
      <c r="AI32" s="617">
        <f t="shared" si="4"/>
        <v>7789755.0799999991</v>
      </c>
      <c r="AJ32" s="617">
        <f t="shared" si="4"/>
        <v>13810198</v>
      </c>
      <c r="AK32" s="617">
        <f t="shared" si="4"/>
        <v>273092.84999999998</v>
      </c>
      <c r="AL32" s="617">
        <f t="shared" si="4"/>
        <v>11056754</v>
      </c>
      <c r="AM32" s="617">
        <f t="shared" si="4"/>
        <v>6753100</v>
      </c>
      <c r="AN32" s="617">
        <f t="shared" si="4"/>
        <v>14001264.040000003</v>
      </c>
      <c r="AO32" s="617">
        <f t="shared" si="4"/>
        <v>6805302.8200000003</v>
      </c>
      <c r="AR32" s="606"/>
      <c r="AS32" s="618"/>
      <c r="AT32" s="618"/>
      <c r="AU32" s="618"/>
    </row>
    <row r="33" spans="1:47" s="591" customFormat="1" x14ac:dyDescent="0.25">
      <c r="A33" s="1016" t="s">
        <v>763</v>
      </c>
      <c r="B33" s="1017">
        <f t="shared" ref="B33:AO33" si="5">B8+B9+B10+B11</f>
        <v>1151461799.25</v>
      </c>
      <c r="C33" s="1017">
        <f t="shared" si="5"/>
        <v>619835202</v>
      </c>
      <c r="D33" s="1017">
        <f t="shared" si="5"/>
        <v>28276.6</v>
      </c>
      <c r="E33" s="1017">
        <f t="shared" si="5"/>
        <v>0</v>
      </c>
      <c r="F33" s="1017">
        <f t="shared" si="5"/>
        <v>4780776</v>
      </c>
      <c r="G33" s="1017">
        <f t="shared" si="5"/>
        <v>2342030</v>
      </c>
      <c r="H33" s="1017">
        <f t="shared" si="5"/>
        <v>1395240</v>
      </c>
      <c r="I33" s="1017">
        <f t="shared" si="5"/>
        <v>676885</v>
      </c>
      <c r="J33" s="1017">
        <f t="shared" si="5"/>
        <v>2960930.5999999996</v>
      </c>
      <c r="K33" s="1017">
        <f t="shared" si="5"/>
        <v>1763965</v>
      </c>
      <c r="L33" s="1017">
        <f t="shared" si="5"/>
        <v>20790162.5</v>
      </c>
      <c r="M33" s="1017">
        <f t="shared" si="5"/>
        <v>11061680</v>
      </c>
      <c r="N33" s="1017">
        <f t="shared" si="5"/>
        <v>10655279.48</v>
      </c>
      <c r="O33" s="1017">
        <f t="shared" si="5"/>
        <v>6135058</v>
      </c>
      <c r="P33" s="1017">
        <f t="shared" si="5"/>
        <v>848204</v>
      </c>
      <c r="Q33" s="1017">
        <f t="shared" si="5"/>
        <v>714904</v>
      </c>
      <c r="R33" s="1017">
        <f t="shared" si="5"/>
        <v>100000</v>
      </c>
      <c r="S33" s="1017">
        <f t="shared" si="5"/>
        <v>0</v>
      </c>
      <c r="T33" s="1017">
        <f t="shared" si="5"/>
        <v>839771510</v>
      </c>
      <c r="U33" s="1017">
        <f t="shared" si="5"/>
        <v>463347000</v>
      </c>
      <c r="V33" s="1017">
        <f t="shared" si="5"/>
        <v>0</v>
      </c>
      <c r="W33" s="1017">
        <f t="shared" si="5"/>
        <v>0</v>
      </c>
      <c r="X33" s="1017">
        <f t="shared" si="5"/>
        <v>239732567</v>
      </c>
      <c r="Y33" s="1017">
        <f t="shared" si="5"/>
        <v>119400000</v>
      </c>
      <c r="Z33" s="1017">
        <f t="shared" si="5"/>
        <v>12500</v>
      </c>
      <c r="AA33" s="1017">
        <f t="shared" si="5"/>
        <v>500</v>
      </c>
      <c r="AB33" s="1017">
        <f t="shared" si="5"/>
        <v>20094573.149999999</v>
      </c>
      <c r="AC33" s="1017">
        <f t="shared" si="5"/>
        <v>10425220</v>
      </c>
      <c r="AD33" s="1017">
        <f t="shared" si="5"/>
        <v>0</v>
      </c>
      <c r="AE33" s="1017">
        <f t="shared" si="5"/>
        <v>0</v>
      </c>
      <c r="AF33" s="1017">
        <f t="shared" si="5"/>
        <v>3118690.92</v>
      </c>
      <c r="AG33" s="1017">
        <f t="shared" si="5"/>
        <v>1700000</v>
      </c>
      <c r="AH33" s="1017">
        <f t="shared" si="5"/>
        <v>2028990</v>
      </c>
      <c r="AI33" s="1017">
        <f t="shared" si="5"/>
        <v>462660</v>
      </c>
      <c r="AJ33" s="1017">
        <f t="shared" si="5"/>
        <v>1972885</v>
      </c>
      <c r="AK33" s="1017">
        <f t="shared" si="5"/>
        <v>0</v>
      </c>
      <c r="AL33" s="1017">
        <f t="shared" si="5"/>
        <v>3171214</v>
      </c>
      <c r="AM33" s="1017">
        <f t="shared" si="5"/>
        <v>1805300</v>
      </c>
      <c r="AN33" s="1017">
        <f t="shared" si="5"/>
        <v>0</v>
      </c>
      <c r="AO33" s="1017">
        <f t="shared" si="5"/>
        <v>0</v>
      </c>
      <c r="AR33" s="606"/>
      <c r="AS33" s="618"/>
      <c r="AT33" s="618"/>
      <c r="AU33" s="618"/>
    </row>
    <row r="34" spans="1:47" ht="17.25" customHeight="1" x14ac:dyDescent="0.25">
      <c r="A34" s="619"/>
      <c r="AR34" s="606"/>
      <c r="AS34" s="607"/>
      <c r="AT34" s="607"/>
      <c r="AU34" s="607"/>
    </row>
    <row r="35" spans="1:47" ht="17.25" customHeight="1" x14ac:dyDescent="0.25">
      <c r="A35" s="619"/>
      <c r="AR35" s="606"/>
      <c r="AS35" s="607"/>
      <c r="AT35" s="607"/>
      <c r="AU35" s="607"/>
    </row>
    <row r="36" spans="1:47" x14ac:dyDescent="0.25">
      <c r="A36" s="619"/>
      <c r="B36" s="620"/>
      <c r="C36" s="620"/>
    </row>
    <row r="37" spans="1:47" ht="17.25" customHeight="1" x14ac:dyDescent="0.25">
      <c r="A37" s="619"/>
      <c r="B37" s="620"/>
      <c r="C37" s="620"/>
      <c r="AR37" s="606"/>
      <c r="AS37" s="607"/>
      <c r="AT37" s="607"/>
      <c r="AU37" s="607"/>
    </row>
    <row r="38" spans="1:47" ht="17.25" customHeight="1" x14ac:dyDescent="0.25">
      <c r="A38" s="619"/>
      <c r="B38" s="620"/>
      <c r="C38" s="620"/>
      <c r="AR38" s="606"/>
      <c r="AS38" s="607"/>
      <c r="AT38" s="607"/>
      <c r="AU38" s="607"/>
    </row>
    <row r="39" spans="1:47" ht="17.25" customHeight="1" x14ac:dyDescent="0.25">
      <c r="A39" s="619"/>
      <c r="B39" s="620"/>
      <c r="C39" s="620"/>
      <c r="AR39" s="606"/>
      <c r="AS39" s="607"/>
      <c r="AT39" s="607"/>
      <c r="AU39" s="607"/>
    </row>
    <row r="40" spans="1:47" ht="17.25" customHeight="1" x14ac:dyDescent="0.25">
      <c r="AR40" s="606"/>
      <c r="AS40" s="607"/>
      <c r="AT40" s="607"/>
      <c r="AU40" s="607"/>
    </row>
    <row r="41" spans="1:47" ht="17.25" customHeight="1" x14ac:dyDescent="0.25">
      <c r="AR41" s="606"/>
      <c r="AS41" s="607"/>
      <c r="AT41" s="607"/>
      <c r="AU41" s="607"/>
    </row>
    <row r="42" spans="1:47" ht="17.25" customHeight="1" x14ac:dyDescent="0.25">
      <c r="AR42" s="606"/>
      <c r="AS42" s="607"/>
      <c r="AT42" s="607"/>
      <c r="AU42" s="607"/>
    </row>
    <row r="43" spans="1:47" ht="17.25" customHeight="1" x14ac:dyDescent="0.25">
      <c r="AR43" s="606"/>
      <c r="AS43" s="607"/>
      <c r="AT43" s="607"/>
      <c r="AU43" s="607"/>
    </row>
    <row r="44" spans="1:47" ht="17.25" customHeight="1" x14ac:dyDescent="0.25">
      <c r="AR44" s="621"/>
      <c r="AS44" s="622"/>
      <c r="AT44" s="622"/>
      <c r="AU44" s="622"/>
    </row>
  </sheetData>
  <mergeCells count="41">
    <mergeCell ref="C2:H2"/>
    <mergeCell ref="A5:A6"/>
    <mergeCell ref="B5:C6"/>
    <mergeCell ref="D5:E5"/>
    <mergeCell ref="F5:G5"/>
    <mergeCell ref="H5:I5"/>
    <mergeCell ref="D6:E6"/>
    <mergeCell ref="F6:G6"/>
    <mergeCell ref="H6:I6"/>
    <mergeCell ref="J6:K6"/>
    <mergeCell ref="L6:M6"/>
    <mergeCell ref="Z6:AA6"/>
    <mergeCell ref="AH5:AI5"/>
    <mergeCell ref="AJ5:AK5"/>
    <mergeCell ref="N6:O6"/>
    <mergeCell ref="V5:W5"/>
    <mergeCell ref="X5:Y5"/>
    <mergeCell ref="Z5:AA5"/>
    <mergeCell ref="AB5:AC5"/>
    <mergeCell ref="T5:U5"/>
    <mergeCell ref="J5:K5"/>
    <mergeCell ref="L5:M5"/>
    <mergeCell ref="N5:O5"/>
    <mergeCell ref="P5:Q5"/>
    <mergeCell ref="R5:S5"/>
    <mergeCell ref="AL5:AM5"/>
    <mergeCell ref="AN5:AO5"/>
    <mergeCell ref="AD5:AE5"/>
    <mergeCell ref="AF5:AG5"/>
    <mergeCell ref="P6:Q6"/>
    <mergeCell ref="R6:S6"/>
    <mergeCell ref="T6:U6"/>
    <mergeCell ref="V6:W6"/>
    <mergeCell ref="X6:Y6"/>
    <mergeCell ref="AN6:AO6"/>
    <mergeCell ref="AB6:AC6"/>
    <mergeCell ref="AD6:AE6"/>
    <mergeCell ref="AF6:AG6"/>
    <mergeCell ref="AH6:AI6"/>
    <mergeCell ref="AJ6:AK6"/>
    <mergeCell ref="AL6:AM6"/>
  </mergeCells>
  <pageMargins left="0.78740157480314965" right="0.39370078740157483" top="0.78740157480314965" bottom="0.59055118110236227" header="0.51181102362204722" footer="0.51181102362204722"/>
  <pageSetup paperSize="9" scale="48" fitToWidth="15" orientation="landscape" r:id="rId1"/>
  <headerFooter alignWithMargins="0">
    <oddFooter>&amp;L&amp;P&amp;R&amp;Z&amp;F&amp;A</oddFooter>
  </headerFooter>
  <colBreaks count="2" manualBreakCount="2">
    <brk id="11" max="32" man="1"/>
    <brk id="3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88"/>
  <sheetViews>
    <sheetView topLeftCell="A2" zoomScale="50" zoomScaleNormal="50" workbookViewId="0">
      <pane xSplit="1" ySplit="9" topLeftCell="AF11" activePane="bottomRight" state="frozen"/>
      <selection activeCell="A2" sqref="A2"/>
      <selection pane="topRight" activeCell="B2" sqref="B2"/>
      <selection pane="bottomLeft" activeCell="A11" sqref="A11"/>
      <selection pane="bottomRight" activeCell="BD30" sqref="BD30"/>
    </sheetView>
  </sheetViews>
  <sheetFormatPr defaultColWidth="8.7109375" defaultRowHeight="15" x14ac:dyDescent="0.25"/>
  <cols>
    <col min="1" max="1" width="31.42578125" style="1356" customWidth="1"/>
    <col min="2" max="2" width="24.42578125" style="1356" bestFit="1" customWidth="1"/>
    <col min="3" max="4" width="21.5703125" style="1356" customWidth="1"/>
    <col min="5" max="5" width="22.42578125" style="1356" customWidth="1"/>
    <col min="6" max="6" width="21.28515625" style="1356" customWidth="1"/>
    <col min="7" max="7" width="16.85546875" style="1356" hidden="1" customWidth="1"/>
    <col min="8" max="8" width="21.42578125" style="1356" customWidth="1"/>
    <col min="9" max="9" width="20.42578125" style="1356" customWidth="1"/>
    <col min="10" max="11" width="22.5703125" style="1356" customWidth="1"/>
    <col min="12" max="12" width="20.85546875" style="1356" customWidth="1"/>
    <col min="13" max="13" width="18.42578125" style="1356" hidden="1" customWidth="1"/>
    <col min="14" max="14" width="21.85546875" style="1356" customWidth="1"/>
    <col min="15" max="15" width="21.7109375" style="1356" customWidth="1"/>
    <col min="16" max="16" width="20.5703125" style="1356" customWidth="1"/>
    <col min="17" max="17" width="20.140625" style="1356" customWidth="1"/>
    <col min="18" max="18" width="18.5703125" style="1356" customWidth="1"/>
    <col min="19" max="19" width="17.42578125" style="1356" hidden="1" customWidth="1"/>
    <col min="20" max="20" width="21.42578125" style="1356" customWidth="1"/>
    <col min="21" max="21" width="20.7109375" style="1356" bestFit="1" customWidth="1"/>
    <col min="22" max="22" width="20.140625" style="1356" customWidth="1"/>
    <col min="23" max="23" width="20.5703125" style="1356" customWidth="1"/>
    <col min="24" max="24" width="18.85546875" style="1356" bestFit="1" customWidth="1"/>
    <col min="25" max="25" width="17.42578125" style="1356" hidden="1" customWidth="1"/>
    <col min="26" max="26" width="20.7109375" style="1356" bestFit="1" customWidth="1"/>
    <col min="27" max="27" width="19.85546875" style="1356" customWidth="1"/>
    <col min="28" max="28" width="18.42578125" style="1356" customWidth="1"/>
    <col min="29" max="29" width="22" style="1356" customWidth="1"/>
    <col min="30" max="30" width="18.5703125" style="1356" customWidth="1"/>
    <col min="31" max="31" width="17.42578125" style="1356" hidden="1" customWidth="1"/>
    <col min="32" max="32" width="21.42578125" style="1356" customWidth="1"/>
    <col min="33" max="33" width="21.140625" style="1356" customWidth="1"/>
    <col min="34" max="34" width="20.5703125" style="1356" customWidth="1"/>
    <col min="35" max="35" width="22.28515625" style="1356" customWidth="1"/>
    <col min="36" max="36" width="21.140625" style="1356" customWidth="1"/>
    <col min="37" max="37" width="1.140625" style="1356" hidden="1" customWidth="1"/>
    <col min="38" max="38" width="21.42578125" style="1356" customWidth="1"/>
    <col min="39" max="39" width="20.5703125" style="1356" customWidth="1"/>
    <col min="40" max="40" width="21.42578125" style="1356" customWidth="1"/>
    <col min="41" max="41" width="21.85546875" style="1356" customWidth="1"/>
    <col min="42" max="42" width="19.5703125" style="1356" customWidth="1"/>
    <col min="43" max="43" width="17.42578125" style="1356" hidden="1" customWidth="1"/>
    <col min="44" max="44" width="20.7109375" style="1356" bestFit="1" customWidth="1"/>
    <col min="45" max="45" width="18.85546875" style="1356" customWidth="1"/>
    <col min="46" max="46" width="20" style="1356" customWidth="1"/>
    <col min="47" max="47" width="18.5703125" style="1356" customWidth="1"/>
    <col min="48" max="48" width="18.42578125" style="1356" customWidth="1"/>
    <col min="49" max="49" width="17.5703125" style="1356" hidden="1" customWidth="1"/>
    <col min="50" max="51" width="18.85546875" style="1356" bestFit="1" customWidth="1"/>
    <col min="52" max="52" width="18.140625" style="1356" customWidth="1"/>
    <col min="53" max="53" width="19.28515625" style="1356" customWidth="1"/>
    <col min="54" max="54" width="18.5703125" style="1356" customWidth="1"/>
    <col min="55" max="55" width="16.5703125" style="1356" hidden="1" customWidth="1"/>
    <col min="56" max="56" width="19.85546875" style="1356" customWidth="1"/>
    <col min="57" max="57" width="18.5703125" style="1356" customWidth="1"/>
    <col min="58" max="58" width="19.42578125" style="1356" customWidth="1"/>
    <col min="59" max="59" width="19.140625" style="1356" customWidth="1"/>
    <col min="60" max="60" width="19.85546875" style="1356" customWidth="1"/>
    <col min="61" max="61" width="16.5703125" style="1356" hidden="1" customWidth="1"/>
    <col min="62" max="62" width="8.7109375" style="1356"/>
    <col min="63" max="63" width="22.5703125" style="512" customWidth="1"/>
    <col min="64" max="64" width="17.140625" style="512" bestFit="1" customWidth="1"/>
    <col min="65" max="65" width="14.28515625" style="512" bestFit="1" customWidth="1"/>
    <col min="66" max="66" width="16" style="512" bestFit="1" customWidth="1"/>
    <col min="67" max="16384" width="8.7109375" style="1356"/>
  </cols>
  <sheetData>
    <row r="1" spans="1:66" x14ac:dyDescent="0.25">
      <c r="A1" s="394"/>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row>
    <row r="2" spans="1:66" ht="16.5" x14ac:dyDescent="0.25">
      <c r="A2" s="394"/>
      <c r="D2" s="430" t="s">
        <v>811</v>
      </c>
      <c r="H2" s="499"/>
      <c r="I2" s="499"/>
      <c r="J2" s="499"/>
      <c r="K2" s="394"/>
      <c r="L2" s="394"/>
      <c r="M2" s="394"/>
      <c r="N2" s="394"/>
      <c r="O2" s="394"/>
      <c r="P2" s="394"/>
      <c r="Q2" s="394"/>
      <c r="R2" s="394"/>
      <c r="S2" s="394"/>
      <c r="T2" s="394"/>
      <c r="U2" s="394"/>
      <c r="V2" s="394"/>
      <c r="W2" s="394"/>
      <c r="X2" s="394"/>
      <c r="Y2" s="394"/>
      <c r="Z2" s="394"/>
      <c r="AA2" s="394"/>
      <c r="AB2" s="394"/>
      <c r="AC2" s="394"/>
      <c r="AD2" s="394"/>
      <c r="AE2" s="394"/>
    </row>
    <row r="3" spans="1:66" ht="16.5" x14ac:dyDescent="0.25">
      <c r="A3" s="394"/>
      <c r="D3" s="430"/>
      <c r="E3" s="430" t="str">
        <f>'Проверочная  таблица'!E3</f>
        <v>ПО  СОСТОЯНИЮ  НА  1  ИЮЛЯ  2024  ГОДА</v>
      </c>
      <c r="F3" s="430"/>
      <c r="H3" s="499"/>
      <c r="I3" s="499"/>
      <c r="J3" s="499"/>
      <c r="K3" s="394"/>
      <c r="L3" s="394"/>
      <c r="M3" s="394"/>
      <c r="N3" s="394"/>
      <c r="O3" s="394"/>
      <c r="P3" s="394"/>
      <c r="Q3" s="394"/>
      <c r="R3" s="394"/>
      <c r="S3" s="394"/>
      <c r="T3" s="394"/>
      <c r="U3" s="394"/>
      <c r="V3" s="394"/>
      <c r="W3" s="394"/>
      <c r="X3" s="394"/>
      <c r="Y3" s="394"/>
      <c r="Z3" s="394"/>
      <c r="AA3" s="394"/>
      <c r="AB3" s="394"/>
      <c r="AC3" s="394"/>
      <c r="AD3" s="394"/>
      <c r="AE3" s="394"/>
    </row>
    <row r="4" spans="1:66" x14ac:dyDescent="0.25">
      <c r="A4" s="394"/>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row>
    <row r="5" spans="1:66" ht="15.75" thickBot="1" x14ac:dyDescent="0.3">
      <c r="A5" s="394"/>
      <c r="B5" s="394"/>
      <c r="C5" s="394"/>
      <c r="D5" s="394"/>
      <c r="E5" s="394"/>
      <c r="F5" s="394"/>
      <c r="G5" s="394"/>
      <c r="H5" s="394"/>
      <c r="I5" s="394"/>
      <c r="J5" s="394"/>
      <c r="K5" s="394"/>
      <c r="L5" s="394"/>
      <c r="M5" s="394"/>
      <c r="AM5" s="394"/>
      <c r="AN5" s="394"/>
      <c r="AO5" s="394"/>
      <c r="AP5" s="394"/>
      <c r="AQ5" s="394"/>
      <c r="AU5" s="512" t="s">
        <v>371</v>
      </c>
      <c r="AV5" s="512"/>
    </row>
    <row r="6" spans="1:66" ht="18" customHeight="1" x14ac:dyDescent="0.25">
      <c r="A6" s="1676" t="s">
        <v>812</v>
      </c>
      <c r="B6" s="1679" t="s">
        <v>359</v>
      </c>
      <c r="C6" s="1680"/>
      <c r="D6" s="1680"/>
      <c r="E6" s="1680"/>
      <c r="F6" s="1680"/>
      <c r="G6" s="1680"/>
      <c r="H6" s="1680"/>
      <c r="I6" s="1680"/>
      <c r="J6" s="1680"/>
      <c r="K6" s="1680"/>
      <c r="L6" s="1680"/>
      <c r="M6" s="1680"/>
      <c r="N6" s="1680"/>
      <c r="O6" s="1680"/>
      <c r="P6" s="1680"/>
      <c r="Q6" s="1680"/>
      <c r="R6" s="1680"/>
      <c r="S6" s="1680"/>
      <c r="T6" s="1680"/>
      <c r="U6" s="1680"/>
      <c r="V6" s="1680"/>
      <c r="W6" s="1680"/>
      <c r="X6" s="1680"/>
      <c r="Y6" s="1680"/>
      <c r="Z6" s="1680"/>
      <c r="AA6" s="1680"/>
      <c r="AB6" s="1680"/>
      <c r="AC6" s="1680"/>
      <c r="AD6" s="1680"/>
      <c r="AE6" s="1681"/>
      <c r="AF6" s="1679" t="s">
        <v>664</v>
      </c>
      <c r="AG6" s="1680"/>
      <c r="AH6" s="1680"/>
      <c r="AI6" s="1680"/>
      <c r="AJ6" s="1680"/>
      <c r="AK6" s="1680"/>
      <c r="AL6" s="1680"/>
      <c r="AM6" s="1680"/>
      <c r="AN6" s="1680"/>
      <c r="AO6" s="1680"/>
      <c r="AP6" s="1680"/>
      <c r="AQ6" s="1680"/>
      <c r="AR6" s="1680"/>
      <c r="AS6" s="1680"/>
      <c r="AT6" s="1680"/>
      <c r="AU6" s="1680"/>
      <c r="AV6" s="1680"/>
      <c r="AW6" s="1680"/>
      <c r="AX6" s="1680"/>
      <c r="AY6" s="1680"/>
      <c r="AZ6" s="1680"/>
      <c r="BA6" s="1680"/>
      <c r="BB6" s="1680"/>
      <c r="BC6" s="1680"/>
      <c r="BD6" s="1680"/>
      <c r="BE6" s="1680"/>
      <c r="BF6" s="1680"/>
      <c r="BG6" s="1680"/>
      <c r="BH6" s="1680"/>
      <c r="BI6" s="1680"/>
      <c r="BJ6" s="1357"/>
    </row>
    <row r="7" spans="1:66" ht="18" customHeight="1" thickBot="1" x14ac:dyDescent="0.3">
      <c r="A7" s="1677"/>
      <c r="B7" s="1682"/>
      <c r="C7" s="1683"/>
      <c r="D7" s="1683"/>
      <c r="E7" s="1683"/>
      <c r="F7" s="1683"/>
      <c r="G7" s="1683"/>
      <c r="H7" s="1683"/>
      <c r="I7" s="1683"/>
      <c r="J7" s="1683"/>
      <c r="K7" s="1683"/>
      <c r="L7" s="1683"/>
      <c r="M7" s="1683"/>
      <c r="N7" s="1683"/>
      <c r="O7" s="1683"/>
      <c r="P7" s="1683"/>
      <c r="Q7" s="1683"/>
      <c r="R7" s="1683"/>
      <c r="S7" s="1683"/>
      <c r="T7" s="1683"/>
      <c r="U7" s="1683"/>
      <c r="V7" s="1683"/>
      <c r="W7" s="1683"/>
      <c r="X7" s="1683"/>
      <c r="Y7" s="1683"/>
      <c r="Z7" s="1683"/>
      <c r="AA7" s="1683"/>
      <c r="AB7" s="1683"/>
      <c r="AC7" s="1683"/>
      <c r="AD7" s="1683"/>
      <c r="AE7" s="1684"/>
      <c r="AF7" s="1682"/>
      <c r="AG7" s="1683"/>
      <c r="AH7" s="1683"/>
      <c r="AI7" s="1683"/>
      <c r="AJ7" s="1683"/>
      <c r="AK7" s="1683"/>
      <c r="AL7" s="1683"/>
      <c r="AM7" s="1683"/>
      <c r="AN7" s="1683"/>
      <c r="AO7" s="1683"/>
      <c r="AP7" s="1683"/>
      <c r="AQ7" s="1683"/>
      <c r="AR7" s="1683"/>
      <c r="AS7" s="1683"/>
      <c r="AT7" s="1683"/>
      <c r="AU7" s="1683"/>
      <c r="AV7" s="1683"/>
      <c r="AW7" s="1683"/>
      <c r="AX7" s="1683"/>
      <c r="AY7" s="1683"/>
      <c r="AZ7" s="1683"/>
      <c r="BA7" s="1683"/>
      <c r="BB7" s="1683"/>
      <c r="BC7" s="1683"/>
      <c r="BD7" s="1683"/>
      <c r="BE7" s="1683"/>
      <c r="BF7" s="1683"/>
      <c r="BG7" s="1683"/>
      <c r="BH7" s="1683"/>
      <c r="BI7" s="1683"/>
      <c r="BJ7" s="1357"/>
    </row>
    <row r="8" spans="1:66" ht="18" customHeight="1" thickBot="1" x14ac:dyDescent="0.3">
      <c r="A8" s="1677"/>
      <c r="B8" s="1676" t="s">
        <v>422</v>
      </c>
      <c r="C8" s="1679" t="s">
        <v>813</v>
      </c>
      <c r="D8" s="1680"/>
      <c r="E8" s="1680"/>
      <c r="F8" s="1680"/>
      <c r="G8" s="1681"/>
      <c r="H8" s="1685" t="s">
        <v>376</v>
      </c>
      <c r="I8" s="1672"/>
      <c r="J8" s="1672"/>
      <c r="K8" s="1672"/>
      <c r="L8" s="1672"/>
      <c r="M8" s="1672"/>
      <c r="N8" s="1672"/>
      <c r="O8" s="1672"/>
      <c r="P8" s="1672"/>
      <c r="Q8" s="1672"/>
      <c r="R8" s="1672"/>
      <c r="S8" s="1673"/>
      <c r="T8" s="1686" t="s">
        <v>814</v>
      </c>
      <c r="U8" s="1670"/>
      <c r="V8" s="1670"/>
      <c r="W8" s="1670"/>
      <c r="X8" s="1670"/>
      <c r="Y8" s="1671"/>
      <c r="Z8" s="1686" t="s">
        <v>815</v>
      </c>
      <c r="AA8" s="1670"/>
      <c r="AB8" s="1670"/>
      <c r="AC8" s="1670"/>
      <c r="AD8" s="1670"/>
      <c r="AE8" s="1671"/>
      <c r="AF8" s="1676" t="s">
        <v>422</v>
      </c>
      <c r="AG8" s="1679" t="s">
        <v>813</v>
      </c>
      <c r="AH8" s="1680"/>
      <c r="AI8" s="1680"/>
      <c r="AJ8" s="1680"/>
      <c r="AK8" s="1681"/>
      <c r="AL8" s="1685" t="s">
        <v>376</v>
      </c>
      <c r="AM8" s="1672"/>
      <c r="AN8" s="1672"/>
      <c r="AO8" s="1672"/>
      <c r="AP8" s="1672"/>
      <c r="AQ8" s="1672"/>
      <c r="AR8" s="1672"/>
      <c r="AS8" s="1672"/>
      <c r="AT8" s="1672"/>
      <c r="AU8" s="1672"/>
      <c r="AV8" s="1672"/>
      <c r="AW8" s="1673"/>
      <c r="AX8" s="1686" t="s">
        <v>814</v>
      </c>
      <c r="AY8" s="1670"/>
      <c r="AZ8" s="1670"/>
      <c r="BA8" s="1670"/>
      <c r="BB8" s="1670"/>
      <c r="BC8" s="1671"/>
      <c r="BD8" s="1686" t="s">
        <v>815</v>
      </c>
      <c r="BE8" s="1670"/>
      <c r="BF8" s="1670"/>
      <c r="BG8" s="1670"/>
      <c r="BH8" s="1670"/>
      <c r="BI8" s="1670"/>
      <c r="BJ8" s="1357"/>
    </row>
    <row r="9" spans="1:66" ht="18" customHeight="1" thickBot="1" x14ac:dyDescent="0.3">
      <c r="A9" s="1677"/>
      <c r="B9" s="1677"/>
      <c r="C9" s="1682"/>
      <c r="D9" s="1683"/>
      <c r="E9" s="1683"/>
      <c r="F9" s="1683"/>
      <c r="G9" s="1684"/>
      <c r="H9" s="1676" t="s">
        <v>816</v>
      </c>
      <c r="I9" s="1682" t="s">
        <v>666</v>
      </c>
      <c r="J9" s="1683"/>
      <c r="K9" s="1683"/>
      <c r="L9" s="1683"/>
      <c r="M9" s="1683"/>
      <c r="N9" s="1676" t="s">
        <v>817</v>
      </c>
      <c r="O9" s="1672" t="s">
        <v>666</v>
      </c>
      <c r="P9" s="1672"/>
      <c r="Q9" s="1672"/>
      <c r="R9" s="1672"/>
      <c r="S9" s="1673"/>
      <c r="T9" s="1674" t="s">
        <v>817</v>
      </c>
      <c r="U9" s="1670" t="s">
        <v>666</v>
      </c>
      <c r="V9" s="1670"/>
      <c r="W9" s="1670"/>
      <c r="X9" s="1670"/>
      <c r="Y9" s="1671"/>
      <c r="Z9" s="1674" t="s">
        <v>817</v>
      </c>
      <c r="AA9" s="1670" t="s">
        <v>666</v>
      </c>
      <c r="AB9" s="1670"/>
      <c r="AC9" s="1670"/>
      <c r="AD9" s="1670"/>
      <c r="AE9" s="1671"/>
      <c r="AF9" s="1677"/>
      <c r="AG9" s="1682"/>
      <c r="AH9" s="1683"/>
      <c r="AI9" s="1683"/>
      <c r="AJ9" s="1683"/>
      <c r="AK9" s="1684"/>
      <c r="AL9" s="1676" t="s">
        <v>816</v>
      </c>
      <c r="AM9" s="1682" t="s">
        <v>666</v>
      </c>
      <c r="AN9" s="1683"/>
      <c r="AO9" s="1683"/>
      <c r="AP9" s="1683"/>
      <c r="AQ9" s="1683"/>
      <c r="AR9" s="1676" t="s">
        <v>817</v>
      </c>
      <c r="AS9" s="1672" t="s">
        <v>666</v>
      </c>
      <c r="AT9" s="1672"/>
      <c r="AU9" s="1672"/>
      <c r="AV9" s="1672"/>
      <c r="AW9" s="1672"/>
      <c r="AX9" s="1666" t="s">
        <v>817</v>
      </c>
      <c r="AY9" s="1669" t="s">
        <v>666</v>
      </c>
      <c r="AZ9" s="1669"/>
      <c r="BA9" s="1669"/>
      <c r="BB9" s="1669"/>
      <c r="BC9" s="1688"/>
      <c r="BD9" s="1666" t="s">
        <v>817</v>
      </c>
      <c r="BE9" s="1668" t="s">
        <v>666</v>
      </c>
      <c r="BF9" s="1669"/>
      <c r="BG9" s="1669"/>
      <c r="BH9" s="1669"/>
      <c r="BI9" s="1669"/>
      <c r="BJ9" s="1357"/>
      <c r="BK9" s="1665" t="s">
        <v>1286</v>
      </c>
      <c r="BL9" s="1665"/>
      <c r="BM9" s="1665"/>
      <c r="BN9" s="1665"/>
    </row>
    <row r="10" spans="1:66" ht="83.25" customHeight="1" thickBot="1" x14ac:dyDescent="0.25">
      <c r="A10" s="1678"/>
      <c r="B10" s="1677"/>
      <c r="C10" s="513" t="s">
        <v>818</v>
      </c>
      <c r="D10" s="1205" t="s">
        <v>819</v>
      </c>
      <c r="E10" s="1204" t="s">
        <v>820</v>
      </c>
      <c r="F10" s="514" t="s">
        <v>821</v>
      </c>
      <c r="G10" s="1204" t="s">
        <v>822</v>
      </c>
      <c r="H10" s="1689"/>
      <c r="I10" s="1204" t="s">
        <v>818</v>
      </c>
      <c r="J10" s="1214" t="s">
        <v>819</v>
      </c>
      <c r="K10" s="1204" t="s">
        <v>820</v>
      </c>
      <c r="L10" s="514" t="s">
        <v>821</v>
      </c>
      <c r="M10" s="1206" t="s">
        <v>822</v>
      </c>
      <c r="N10" s="1677"/>
      <c r="O10" s="514" t="s">
        <v>818</v>
      </c>
      <c r="P10" s="514" t="s">
        <v>819</v>
      </c>
      <c r="Q10" s="514" t="s">
        <v>820</v>
      </c>
      <c r="R10" s="514" t="s">
        <v>821</v>
      </c>
      <c r="S10" s="514" t="s">
        <v>822</v>
      </c>
      <c r="T10" s="1675"/>
      <c r="U10" s="1211" t="s">
        <v>818</v>
      </c>
      <c r="V10" s="515" t="s">
        <v>819</v>
      </c>
      <c r="W10" s="1201" t="s">
        <v>820</v>
      </c>
      <c r="X10" s="515" t="s">
        <v>821</v>
      </c>
      <c r="Y10" s="1202" t="s">
        <v>822</v>
      </c>
      <c r="Z10" s="1675"/>
      <c r="AA10" s="515" t="s">
        <v>818</v>
      </c>
      <c r="AB10" s="515" t="s">
        <v>819</v>
      </c>
      <c r="AC10" s="1201" t="s">
        <v>820</v>
      </c>
      <c r="AD10" s="515" t="s">
        <v>821</v>
      </c>
      <c r="AE10" s="1202" t="s">
        <v>822</v>
      </c>
      <c r="AF10" s="1678"/>
      <c r="AG10" s="1208" t="s">
        <v>818</v>
      </c>
      <c r="AH10" s="1210" t="s">
        <v>819</v>
      </c>
      <c r="AI10" s="514" t="s">
        <v>820</v>
      </c>
      <c r="AJ10" s="514" t="s">
        <v>821</v>
      </c>
      <c r="AK10" s="514" t="s">
        <v>822</v>
      </c>
      <c r="AL10" s="1689"/>
      <c r="AM10" s="514" t="s">
        <v>818</v>
      </c>
      <c r="AN10" s="1209" t="s">
        <v>819</v>
      </c>
      <c r="AO10" s="514" t="s">
        <v>820</v>
      </c>
      <c r="AP10" s="514" t="s">
        <v>821</v>
      </c>
      <c r="AQ10" s="1203" t="s">
        <v>822</v>
      </c>
      <c r="AR10" s="1678"/>
      <c r="AS10" s="514" t="s">
        <v>818</v>
      </c>
      <c r="AT10" s="514" t="s">
        <v>819</v>
      </c>
      <c r="AU10" s="1204" t="s">
        <v>820</v>
      </c>
      <c r="AV10" s="1207" t="s">
        <v>821</v>
      </c>
      <c r="AW10" s="1205" t="s">
        <v>822</v>
      </c>
      <c r="AX10" s="1690"/>
      <c r="AY10" s="1200" t="s">
        <v>818</v>
      </c>
      <c r="AZ10" s="516" t="s">
        <v>819</v>
      </c>
      <c r="BA10" s="1200" t="s">
        <v>820</v>
      </c>
      <c r="BB10" s="516" t="s">
        <v>821</v>
      </c>
      <c r="BC10" s="1213" t="s">
        <v>822</v>
      </c>
      <c r="BD10" s="1667"/>
      <c r="BE10" s="516" t="s">
        <v>818</v>
      </c>
      <c r="BF10" s="1213" t="s">
        <v>819</v>
      </c>
      <c r="BG10" s="516" t="s">
        <v>820</v>
      </c>
      <c r="BH10" s="516" t="s">
        <v>821</v>
      </c>
      <c r="BI10" s="516" t="s">
        <v>822</v>
      </c>
      <c r="BK10" s="1042" t="s">
        <v>1287</v>
      </c>
      <c r="BL10" s="1042" t="s">
        <v>1290</v>
      </c>
      <c r="BM10" s="1042" t="s">
        <v>1289</v>
      </c>
      <c r="BN10" s="1042" t="s">
        <v>1288</v>
      </c>
    </row>
    <row r="11" spans="1:66" ht="24.75" customHeight="1" x14ac:dyDescent="0.25">
      <c r="A11" s="517" t="s">
        <v>318</v>
      </c>
      <c r="B11" s="1358">
        <f>'Проверочная  таблица'!B13</f>
        <v>562433222.40999997</v>
      </c>
      <c r="C11" s="1359">
        <f>'Проверочная  таблица'!D13</f>
        <v>158903877</v>
      </c>
      <c r="D11" s="1360">
        <f>'Проверочная  таблица'!AN13</f>
        <v>164490647.13</v>
      </c>
      <c r="E11" s="1358">
        <f>'Проверочная  таблица'!VJ13</f>
        <v>189713666.41999996</v>
      </c>
      <c r="F11" s="1361">
        <f>'Проверочная  таблица'!WR13</f>
        <v>49325031.859999999</v>
      </c>
      <c r="G11" s="1361"/>
      <c r="H11" s="1362">
        <f t="shared" ref="H11:L26" si="0">B11-N11</f>
        <v>561773803.18999994</v>
      </c>
      <c r="I11" s="1363">
        <f t="shared" si="0"/>
        <v>158903877</v>
      </c>
      <c r="J11" s="1362">
        <f t="shared" si="0"/>
        <v>163831227.91</v>
      </c>
      <c r="K11" s="1363">
        <f t="shared" si="0"/>
        <v>189713666.41999996</v>
      </c>
      <c r="L11" s="1363">
        <f t="shared" si="0"/>
        <v>49325031.859999999</v>
      </c>
      <c r="M11" s="1362"/>
      <c r="N11" s="1364">
        <f>SUM(O11:S11)</f>
        <v>659419.22</v>
      </c>
      <c r="O11" s="1363">
        <f>'Проверочная  таблица'!P13+'Проверочная  таблица'!AD13+'Проверочная  таблица'!H13</f>
        <v>0</v>
      </c>
      <c r="P11" s="1365">
        <f>'Проверочная  таблица'!BL13+'Проверочная  таблица'!BV13+'Проверочная  таблица'!CJ13+'Проверочная  таблица'!NR13+'Проверочная  таблица'!OZ13+'Проверочная  таблица'!JX13+'Проверочная  таблица'!VD13+'Проверочная  таблица'!AV13+'Проверочная  таблица'!FH13+'Проверочная  таблица'!DJ13+'Проверочная  таблица'!QH13+'Проверочная  таблица'!TL13+'Проверочная  таблица'!MD13+'Проверочная  таблица'!KZ13+'Проверочная  таблица'!RL13+'Проверочная  таблица'!HX13+'Проверочная  таблица'!HD13+'Проверочная  таблица'!GL13+'Проверочная  таблица'!IV13</f>
        <v>659419.22</v>
      </c>
      <c r="Q11" s="1364">
        <f>'Проверочная  таблица'!VV13</f>
        <v>0</v>
      </c>
      <c r="R11" s="1358">
        <f>'Проверочная  таблица'!YT13+'Проверочная  таблица'!XP13</f>
        <v>0</v>
      </c>
      <c r="S11" s="1366"/>
      <c r="T11" s="1367">
        <f t="shared" ref="T11:T28" si="1">SUM(U11:Y11)</f>
        <v>-4595977.9300000006</v>
      </c>
      <c r="U11" s="1367">
        <f t="shared" ref="U11:X26" si="2">O11-AA11</f>
        <v>0</v>
      </c>
      <c r="V11" s="1368">
        <f t="shared" si="2"/>
        <v>-4595977.9300000006</v>
      </c>
      <c r="W11" s="1369">
        <f t="shared" si="2"/>
        <v>0</v>
      </c>
      <c r="X11" s="1368">
        <f t="shared" si="2"/>
        <v>0</v>
      </c>
      <c r="Y11" s="1370"/>
      <c r="Z11" s="1369">
        <f t="shared" ref="Z11:Z28" si="3">SUM(AA11:AE11)</f>
        <v>5255397.1500000004</v>
      </c>
      <c r="AA11" s="1367">
        <f>'Проверочная  таблица'!AL13+'Проверочная  таблица'!T13+'Проверочная  таблица'!L13</f>
        <v>0</v>
      </c>
      <c r="AB11" s="1368">
        <f>'Проверочная  таблица'!BZ13+'Проверочная  таблица'!CN13+'Проверочная  таблица'!BR13+'Проверочная  таблица'!VH13+'Проверочная  таблица'!OD13+'Проверочная  таблица'!KJ13+'Проверочная  таблица'!PP13+'Проверочная  таблица'!BD13+'Проверочная  таблица'!FT13+'Проверочная  таблица'!DR13+'Проверочная  таблица'!QT13+'Проверочная  таблица'!UN13+'Проверочная  таблица'!MT13+'Проверочная  таблица'!LP13+'Проверочная  таблица'!RX13+'Проверочная  таблица'!IJ13+'Проверочная  таблица'!HJ13+'Проверочная  таблица'!GT13+'Проверочная  таблица'!JD13</f>
        <v>5255397.1500000004</v>
      </c>
      <c r="AC11" s="1369"/>
      <c r="AD11" s="1371">
        <f>'Проверочная  таблица'!ZR13+'Проверочная  таблица'!XV13</f>
        <v>0</v>
      </c>
      <c r="AE11" s="1372"/>
      <c r="AF11" s="1361">
        <f>'Проверочная  таблица'!C13</f>
        <v>214545049.62</v>
      </c>
      <c r="AG11" s="1359">
        <f>'Проверочная  таблица'!E13</f>
        <v>79920000</v>
      </c>
      <c r="AH11" s="1360">
        <f>'Проверочная  таблица'!AO13</f>
        <v>13701716.34</v>
      </c>
      <c r="AI11" s="1358">
        <f>'Проверочная  таблица'!VM13</f>
        <v>103142541.28999999</v>
      </c>
      <c r="AJ11" s="1373">
        <f>'Проверочная  таблица'!WS13</f>
        <v>17780791.990000002</v>
      </c>
      <c r="AK11" s="1361"/>
      <c r="AL11" s="1362">
        <f t="shared" ref="AL11:AP26" si="4">AF11-AR11</f>
        <v>214545049.62</v>
      </c>
      <c r="AM11" s="1363">
        <f t="shared" si="4"/>
        <v>79920000</v>
      </c>
      <c r="AN11" s="1362">
        <f t="shared" si="4"/>
        <v>13701716.34</v>
      </c>
      <c r="AO11" s="1363">
        <f t="shared" si="4"/>
        <v>103142541.28999999</v>
      </c>
      <c r="AP11" s="1363">
        <f t="shared" si="4"/>
        <v>17780791.990000002</v>
      </c>
      <c r="AQ11" s="1362"/>
      <c r="AR11" s="1364">
        <f>SUM(AS11:AW11)</f>
        <v>0</v>
      </c>
      <c r="AS11" s="1364">
        <f>'Проверочная  таблица'!Q13+'Проверочная  таблица'!AG13+'Проверочная  таблица'!I13</f>
        <v>0</v>
      </c>
      <c r="AT11" s="1363">
        <f>'Проверочная  таблица'!VE13+'Проверочная  таблица'!CK13+'Проверочная  таблица'!BW13+'Проверочная  таблица'!BN13+'Проверочная  таблица'!NU13+'Проверочная  таблица'!KA13+'Проверочная  таблица'!PD13+'Проверочная  таблица'!AX13+'Проверочная  таблица'!FK13+'Проверочная  таблица'!DM13+'Проверочная  таблица'!QK13+'Проверочная  таблица'!TS13+'Проверочная  таблица'!MH13+'Проверочная  таблица'!LE13+'Проверочная  таблица'!RO13+'Проверочная  таблица'!IA13+'Проверочная  таблица'!HF13+'Проверочная  таблица'!GO13+'Проверочная  таблица'!IY13</f>
        <v>0</v>
      </c>
      <c r="AU11" s="1373">
        <f>'Проверочная  таблица'!VW13</f>
        <v>0</v>
      </c>
      <c r="AV11" s="1374">
        <f>'Проверочная  таблица'!YZ13+'Проверочная  таблица'!XR13</f>
        <v>0</v>
      </c>
      <c r="AW11" s="1375"/>
      <c r="AX11" s="1368">
        <f t="shared" ref="AX11:AX28" si="5">SUM(AY11:BC11)</f>
        <v>0</v>
      </c>
      <c r="AY11" s="1369">
        <f t="shared" ref="AY11:BB26" si="6">AS11-BE11</f>
        <v>0</v>
      </c>
      <c r="AZ11" s="1368">
        <f t="shared" si="6"/>
        <v>0</v>
      </c>
      <c r="BA11" s="1369">
        <f t="shared" si="6"/>
        <v>0</v>
      </c>
      <c r="BB11" s="1368">
        <f t="shared" si="6"/>
        <v>0</v>
      </c>
      <c r="BC11" s="1376"/>
      <c r="BD11" s="1377">
        <f t="shared" ref="BD11:BD28" si="7">SUM(BE11:BI11)</f>
        <v>0</v>
      </c>
      <c r="BE11" s="1368">
        <f>'Проверочная  таблица'!M13+'Проверочная  таблица'!U13+'Проверочная  таблица'!AM13</f>
        <v>0</v>
      </c>
      <c r="BF11" s="1370">
        <f>'Проверочная  таблица'!CA13+'Проверочная  таблица'!CO13+'Проверочная  таблица'!BS13+'Проверочная  таблица'!VI13+'Проверочная  таблица'!OG13+'Проверочная  таблица'!KM13+'Проверочная  таблица'!PT13+'Проверочная  таблица'!BF13+'Проверочная  таблица'!FW13+'Проверочная  таблица'!DS13+'Проверочная  таблица'!QW13+'Проверочная  таблица'!UU13+'Проверочная  таблица'!MX13+'Проверочная  таблица'!LS13+'Проверочная  таблица'!SA13+'Проверочная  таблица'!IM13+'Проверочная  таблица'!HK13+'Проверочная  таблица'!GU13+'Проверочная  таблица'!JE13</f>
        <v>0</v>
      </c>
      <c r="BG11" s="1378"/>
      <c r="BH11" s="1379">
        <f>'Проверочная  таблица'!ZX13+'Проверочная  таблица'!XW13</f>
        <v>0</v>
      </c>
      <c r="BI11" s="1370"/>
      <c r="BK11" s="1380">
        <f>SUM(D11:F11)/1000</f>
        <v>403529.34540999995</v>
      </c>
      <c r="BL11" s="1380">
        <f>SUM(J11:L11)/1000</f>
        <v>402869.92618999991</v>
      </c>
      <c r="BM11" s="1380">
        <f>SUM(V11:X11)/1000</f>
        <v>-4595.9779300000009</v>
      </c>
      <c r="BN11" s="1380">
        <f>SUM(AB11:AD11)/1000</f>
        <v>5255.3971500000007</v>
      </c>
    </row>
    <row r="12" spans="1:66" ht="24.75" customHeight="1" x14ac:dyDescent="0.25">
      <c r="A12" s="518" t="s">
        <v>319</v>
      </c>
      <c r="B12" s="1381">
        <f>'Проверочная  таблица'!B17</f>
        <v>2557447883.6300006</v>
      </c>
      <c r="C12" s="1382">
        <f>'Проверочная  таблица'!D17</f>
        <v>198134707.40000001</v>
      </c>
      <c r="D12" s="1383">
        <f>'Проверочная  таблица'!AN17</f>
        <v>1163929682.8700001</v>
      </c>
      <c r="E12" s="1381">
        <f>'Проверочная  таблица'!VJ17</f>
        <v>979948284.75</v>
      </c>
      <c r="F12" s="1384">
        <f>'Проверочная  таблица'!WR17</f>
        <v>215435208.60999998</v>
      </c>
      <c r="G12" s="1384"/>
      <c r="H12" s="1365">
        <f t="shared" si="0"/>
        <v>1760695162.1800008</v>
      </c>
      <c r="I12" s="1385">
        <f t="shared" si="0"/>
        <v>35046566</v>
      </c>
      <c r="J12" s="1365">
        <f t="shared" si="0"/>
        <v>675502714.83000016</v>
      </c>
      <c r="K12" s="1385">
        <f t="shared" si="0"/>
        <v>976806184.75</v>
      </c>
      <c r="L12" s="1385">
        <f t="shared" si="0"/>
        <v>73339696.599999994</v>
      </c>
      <c r="M12" s="1365"/>
      <c r="N12" s="1386">
        <f t="shared" ref="N12:N28" si="8">SUM(O12:S12)</f>
        <v>796752721.44999993</v>
      </c>
      <c r="O12" s="1385">
        <f>'Проверочная  таблица'!P17+'Проверочная  таблица'!AD17+'Проверочная  таблица'!H17</f>
        <v>163088141.40000001</v>
      </c>
      <c r="P12" s="1365">
        <f>'Проверочная  таблица'!BL17+'Проверочная  таблица'!BV17+'Проверочная  таблица'!CJ17+'Проверочная  таблица'!NR17+'Проверочная  таблица'!OZ17+'Проверочная  таблица'!JX17+'Проверочная  таблица'!VD17+'Проверочная  таблица'!AV17+'Проверочная  таблица'!FH17+'Проверочная  таблица'!DJ17+'Проверочная  таблица'!QH17+'Проверочная  таблица'!TL17+'Проверочная  таблица'!MD17+'Проверочная  таблица'!KZ17+'Проверочная  таблица'!RL17+'Проверочная  таблица'!HX17+'Проверочная  таблица'!HD17+'Проверочная  таблица'!GL17+'Проверочная  таблица'!IV17</f>
        <v>488426968.03999996</v>
      </c>
      <c r="Q12" s="1386">
        <f>'Проверочная  таблица'!VV17</f>
        <v>3142100</v>
      </c>
      <c r="R12" s="1381">
        <f>'Проверочная  таблица'!YT17+'Проверочная  таблица'!XP17</f>
        <v>142095512.00999999</v>
      </c>
      <c r="S12" s="1387"/>
      <c r="T12" s="1388">
        <f t="shared" si="1"/>
        <v>168061127.77999997</v>
      </c>
      <c r="U12" s="1388">
        <f t="shared" si="2"/>
        <v>73621202.400000006</v>
      </c>
      <c r="V12" s="1389">
        <f t="shared" si="2"/>
        <v>63282529.419999957</v>
      </c>
      <c r="W12" s="1390">
        <f t="shared" si="2"/>
        <v>3142100</v>
      </c>
      <c r="X12" s="1389">
        <f t="shared" si="2"/>
        <v>28015295.959999993</v>
      </c>
      <c r="Y12" s="1391"/>
      <c r="Z12" s="1390">
        <f t="shared" si="3"/>
        <v>628691593.66999996</v>
      </c>
      <c r="AA12" s="1388">
        <f>'Проверочная  таблица'!AL17+'Проверочная  таблица'!T17+'Проверочная  таблица'!L17</f>
        <v>89466939</v>
      </c>
      <c r="AB12" s="1368">
        <f>'Проверочная  таблица'!BZ17+'Проверочная  таблица'!CN17+'Проверочная  таблица'!BR17+'Проверочная  таблица'!VH17+'Проверочная  таблица'!OD17+'Проверочная  таблица'!KJ17+'Проверочная  таблица'!PP17+'Проверочная  таблица'!BD17+'Проверочная  таблица'!FT17+'Проверочная  таблица'!DR17+'Проверочная  таблица'!QT17+'Проверочная  таблица'!UN17+'Проверочная  таблица'!MT17+'Проверочная  таблица'!LP17+'Проверочная  таблица'!RX17+'Проверочная  таблица'!IJ17+'Проверочная  таблица'!HJ17+'Проверочная  таблица'!GT17+'Проверочная  таблица'!JD17</f>
        <v>425144438.62</v>
      </c>
      <c r="AC12" s="1390"/>
      <c r="AD12" s="1392">
        <f>'Проверочная  таблица'!ZR17+'Проверочная  таблица'!XV17</f>
        <v>114080216.05</v>
      </c>
      <c r="AE12" s="1393"/>
      <c r="AF12" s="1384">
        <f>'Проверочная  таблица'!C17</f>
        <v>994538910.56999993</v>
      </c>
      <c r="AG12" s="1382">
        <f>'Проверочная  таблица'!E17</f>
        <v>101480726.5</v>
      </c>
      <c r="AH12" s="1383">
        <f>'Проверочная  таблица'!AO17</f>
        <v>224819182.64999998</v>
      </c>
      <c r="AI12" s="1381">
        <f>'Проверочная  таблица'!VM17</f>
        <v>599185649.61000001</v>
      </c>
      <c r="AJ12" s="1387">
        <f>'Проверочная  таблица'!WS17</f>
        <v>69053351.810000002</v>
      </c>
      <c r="AK12" s="1384"/>
      <c r="AL12" s="1365">
        <f t="shared" si="4"/>
        <v>704257690.3599999</v>
      </c>
      <c r="AM12" s="1385">
        <f t="shared" si="4"/>
        <v>18969023</v>
      </c>
      <c r="AN12" s="1365">
        <f t="shared" si="4"/>
        <v>42468772.310000002</v>
      </c>
      <c r="AO12" s="1385">
        <f t="shared" si="4"/>
        <v>597815239.49000001</v>
      </c>
      <c r="AP12" s="1385">
        <f t="shared" si="4"/>
        <v>45004655.560000002</v>
      </c>
      <c r="AQ12" s="1365"/>
      <c r="AR12" s="1386">
        <f t="shared" ref="AR12:AR28" si="9">SUM(AS12:AW12)</f>
        <v>290281220.20999998</v>
      </c>
      <c r="AS12" s="1386">
        <f>'Проверочная  таблица'!Q17+'Проверочная  таблица'!AG17+'Проверочная  таблица'!I17</f>
        <v>82511703.5</v>
      </c>
      <c r="AT12" s="1385">
        <f>'Проверочная  таблица'!VE17+'Проверочная  таблица'!CK17+'Проверочная  таблица'!BW17+'Проверочная  таблица'!BN17+'Проверочная  таблица'!NU17+'Проверочная  таблица'!KA17+'Проверочная  таблица'!PD17+'Проверочная  таблица'!AX17+'Проверочная  таблица'!FK17+'Проверочная  таблица'!DM17+'Проверочная  таблица'!QK17+'Проверочная  таблица'!TS17+'Проверочная  таблица'!MH17+'Проверочная  таблица'!LE17+'Проверочная  таблица'!RO17+'Проверочная  таблица'!IA17+'Проверочная  таблица'!HF17+'Проверочная  таблица'!GO17+'Проверочная  таблица'!IY17</f>
        <v>182350410.33999997</v>
      </c>
      <c r="AU12" s="1387">
        <f>'Проверочная  таблица'!VW17</f>
        <v>1370410.1199999999</v>
      </c>
      <c r="AV12" s="1394">
        <f>'Проверочная  таблица'!YZ17+'Проверочная  таблица'!XR17</f>
        <v>24048696.25</v>
      </c>
      <c r="AW12" s="1395"/>
      <c r="AX12" s="1389">
        <f t="shared" si="5"/>
        <v>40006056.759999983</v>
      </c>
      <c r="AY12" s="1390">
        <f t="shared" si="6"/>
        <v>38039703.5</v>
      </c>
      <c r="AZ12" s="1389">
        <f t="shared" si="6"/>
        <v>350246.88999998569</v>
      </c>
      <c r="BA12" s="1390">
        <f t="shared" si="6"/>
        <v>1370410.1199999999</v>
      </c>
      <c r="BB12" s="1389">
        <f t="shared" si="6"/>
        <v>245696.25</v>
      </c>
      <c r="BC12" s="1396"/>
      <c r="BD12" s="1397">
        <f t="shared" si="7"/>
        <v>250275163.44999999</v>
      </c>
      <c r="BE12" s="1389">
        <f>'Проверочная  таблица'!M17+'Проверочная  таблица'!U17+'Проверочная  таблица'!AM17</f>
        <v>44472000</v>
      </c>
      <c r="BF12" s="1370">
        <f>'Проверочная  таблица'!CA17+'Проверочная  таблица'!CO17+'Проверочная  таблица'!BS17+'Проверочная  таблица'!VI17+'Проверочная  таблица'!OG17+'Проверочная  таблица'!KM17+'Проверочная  таблица'!PT17+'Проверочная  таблица'!BF17+'Проверочная  таблица'!FW17+'Проверочная  таблица'!DS17+'Проверочная  таблица'!QW17+'Проверочная  таблица'!UU17+'Проверочная  таблица'!MX17+'Проверочная  таблица'!LS17+'Проверочная  таблица'!SA17+'Проверочная  таблица'!IM17+'Проверочная  таблица'!HK17+'Проверочная  таблица'!GU17+'Проверочная  таблица'!JE17</f>
        <v>182000163.44999999</v>
      </c>
      <c r="BG12" s="1398"/>
      <c r="BH12" s="1399">
        <f>'Проверочная  таблица'!ZX17+'Проверочная  таблица'!XW17</f>
        <v>23803000</v>
      </c>
      <c r="BI12" s="1391"/>
      <c r="BK12" s="1380">
        <f t="shared" ref="BK12:BK36" si="10">SUM(D12:F12)/1000</f>
        <v>2359313.1762299999</v>
      </c>
      <c r="BL12" s="1380">
        <f t="shared" ref="BL12:BL36" si="11">SUM(J12:L12)/1000</f>
        <v>1725648.5961800001</v>
      </c>
      <c r="BM12" s="1380">
        <f t="shared" ref="BM12:BM36" si="12">SUM(V12:X12)/1000</f>
        <v>94439.925379999957</v>
      </c>
      <c r="BN12" s="1380">
        <f t="shared" ref="BN12:BN36" si="13">SUM(AB12:AD12)/1000</f>
        <v>539224.65466999996</v>
      </c>
    </row>
    <row r="13" spans="1:66" ht="24.75" customHeight="1" x14ac:dyDescent="0.25">
      <c r="A13" s="519" t="s">
        <v>320</v>
      </c>
      <c r="B13" s="1381">
        <f>'Проверочная  таблица'!B18</f>
        <v>1566125151.3600004</v>
      </c>
      <c r="C13" s="1382">
        <f>'Проверочная  таблица'!D18</f>
        <v>231449694.09</v>
      </c>
      <c r="D13" s="1383">
        <f>'Проверочная  таблица'!AN18</f>
        <v>636007956.94000006</v>
      </c>
      <c r="E13" s="1381">
        <f>'Проверочная  таблица'!VJ18</f>
        <v>474858646.92000008</v>
      </c>
      <c r="F13" s="1384">
        <f>'Проверочная  таблица'!WR18</f>
        <v>223808853.41</v>
      </c>
      <c r="G13" s="1384"/>
      <c r="H13" s="1365">
        <f t="shared" si="0"/>
        <v>1126938976.8100004</v>
      </c>
      <c r="I13" s="1385">
        <f t="shared" si="0"/>
        <v>131645019</v>
      </c>
      <c r="J13" s="1365">
        <f t="shared" si="0"/>
        <v>430276839.97000009</v>
      </c>
      <c r="K13" s="1385">
        <f t="shared" si="0"/>
        <v>472757946.92000008</v>
      </c>
      <c r="L13" s="1385">
        <f t="shared" si="0"/>
        <v>92259170.919999987</v>
      </c>
      <c r="M13" s="1365"/>
      <c r="N13" s="1386">
        <f t="shared" si="8"/>
        <v>439186174.54999995</v>
      </c>
      <c r="O13" s="1385">
        <f>'Проверочная  таблица'!P18+'Проверочная  таблица'!AD18+'Проверочная  таблица'!H18</f>
        <v>99804675.090000004</v>
      </c>
      <c r="P13" s="1365">
        <f>'Проверочная  таблица'!BL18+'Проверочная  таблица'!BV18+'Проверочная  таблица'!CJ18+'Проверочная  таблица'!NR18+'Проверочная  таблица'!OZ18+'Проверочная  таблица'!JX18+'Проверочная  таблица'!VD18+'Проверочная  таблица'!AV18+'Проверочная  таблица'!FH18+'Проверочная  таблица'!DJ18+'Проверочная  таблица'!QH18+'Проверочная  таблица'!TL18+'Проверочная  таблица'!MD18+'Проверочная  таблица'!KZ18+'Проверочная  таблица'!RL18+'Проверочная  таблица'!HX18+'Проверочная  таблица'!HD18+'Проверочная  таблица'!GL18+'Проверочная  таблица'!IV18</f>
        <v>205731116.96999997</v>
      </c>
      <c r="Q13" s="1386">
        <f>'Проверочная  таблица'!VV18</f>
        <v>2100700</v>
      </c>
      <c r="R13" s="1381">
        <f>'Проверочная  таблица'!YT18+'Проверочная  таблица'!XP18</f>
        <v>131549682.49000001</v>
      </c>
      <c r="S13" s="1387"/>
      <c r="T13" s="1388">
        <f t="shared" si="1"/>
        <v>69871598.199999988</v>
      </c>
      <c r="U13" s="1388">
        <f t="shared" si="2"/>
        <v>49573300.090000004</v>
      </c>
      <c r="V13" s="1389">
        <f t="shared" si="2"/>
        <v>11082854.139999986</v>
      </c>
      <c r="W13" s="1390">
        <f t="shared" si="2"/>
        <v>2100700</v>
      </c>
      <c r="X13" s="1389">
        <f t="shared" si="2"/>
        <v>7114743.9699999988</v>
      </c>
      <c r="Y13" s="1391"/>
      <c r="Z13" s="1390">
        <f t="shared" si="3"/>
        <v>369314576.35000002</v>
      </c>
      <c r="AA13" s="1388">
        <f>'Проверочная  таблица'!AL18+'Проверочная  таблица'!T18+'Проверочная  таблица'!L18</f>
        <v>50231375</v>
      </c>
      <c r="AB13" s="1368">
        <f>'Проверочная  таблица'!BZ18+'Проверочная  таблица'!CN18+'Проверочная  таблица'!BR18+'Проверочная  таблица'!VH18+'Проверочная  таблица'!OD18+'Проверочная  таблица'!KJ18+'Проверочная  таблица'!PP18+'Проверочная  таблица'!BD18+'Проверочная  таблица'!FT18+'Проверочная  таблица'!DR18+'Проверочная  таблица'!QT18+'Проверочная  таблица'!UN18+'Проверочная  таблица'!MT18+'Проверочная  таблица'!LP18+'Проверочная  таблица'!RX18+'Проверочная  таблица'!IJ18+'Проверочная  таблица'!HJ18+'Проверочная  таблица'!GT18+'Проверочная  таблица'!JD18</f>
        <v>194648262.82999998</v>
      </c>
      <c r="AC13" s="1390"/>
      <c r="AD13" s="1392">
        <f>'Проверочная  таблица'!ZR18+'Проверочная  таблица'!XV18</f>
        <v>124434938.52000001</v>
      </c>
      <c r="AE13" s="1393"/>
      <c r="AF13" s="1384">
        <f>'Проверочная  таблица'!C18</f>
        <v>548740143.17999995</v>
      </c>
      <c r="AG13" s="1382">
        <f>'Проверочная  таблица'!E18</f>
        <v>86023342</v>
      </c>
      <c r="AH13" s="1383">
        <f>'Проверочная  таблица'!AO18</f>
        <v>174082559.38</v>
      </c>
      <c r="AI13" s="1381">
        <f>'Проверочная  таблица'!VM18</f>
        <v>248140078.01000002</v>
      </c>
      <c r="AJ13" s="1387">
        <f>'Проверочная  таблица'!WS18</f>
        <v>40494163.789999999</v>
      </c>
      <c r="AK13" s="1384"/>
      <c r="AL13" s="1365">
        <f t="shared" si="4"/>
        <v>406703673.77999997</v>
      </c>
      <c r="AM13" s="1385">
        <f t="shared" si="4"/>
        <v>40533047</v>
      </c>
      <c r="AN13" s="1365">
        <f t="shared" si="4"/>
        <v>82032392.359999999</v>
      </c>
      <c r="AO13" s="1385">
        <f t="shared" si="4"/>
        <v>247409370.63000003</v>
      </c>
      <c r="AP13" s="1385">
        <f t="shared" si="4"/>
        <v>36728863.789999999</v>
      </c>
      <c r="AQ13" s="1365"/>
      <c r="AR13" s="1386">
        <f t="shared" si="9"/>
        <v>142036469.39999998</v>
      </c>
      <c r="AS13" s="1386">
        <f>'Проверочная  таблица'!Q18+'Проверочная  таблица'!AG18+'Проверочная  таблица'!I18</f>
        <v>45490295</v>
      </c>
      <c r="AT13" s="1385">
        <f>'Проверочная  таблица'!VE18+'Проверочная  таблица'!CK18+'Проверочная  таблица'!BW18+'Проверочная  таблица'!BN18+'Проверочная  таблица'!NU18+'Проверочная  таблица'!KA18+'Проверочная  таблица'!PD18+'Проверочная  таблица'!AX18+'Проверочная  таблица'!FK18+'Проверочная  таблица'!DM18+'Проверочная  таблица'!QK18+'Проверочная  таблица'!TS18+'Проверочная  таблица'!MH18+'Проверочная  таблица'!LE18+'Проверочная  таблица'!RO18+'Проверочная  таблица'!IA18+'Проверочная  таблица'!HF18+'Проверочная  таблица'!GO18+'Проверочная  таблица'!IY18</f>
        <v>92050167.019999996</v>
      </c>
      <c r="AU13" s="1387">
        <f>'Проверочная  таблица'!VW18</f>
        <v>730707.38</v>
      </c>
      <c r="AV13" s="1394">
        <f>'Проверочная  таблица'!YZ18+'Проверочная  таблица'!XR18</f>
        <v>3765300</v>
      </c>
      <c r="AW13" s="1395"/>
      <c r="AX13" s="1389">
        <f t="shared" si="5"/>
        <v>32495716.069999997</v>
      </c>
      <c r="AY13" s="1390">
        <f t="shared" si="6"/>
        <v>26374875</v>
      </c>
      <c r="AZ13" s="1389">
        <f t="shared" si="6"/>
        <v>5390133.6899999976</v>
      </c>
      <c r="BA13" s="1390">
        <f t="shared" si="6"/>
        <v>730707.38</v>
      </c>
      <c r="BB13" s="1389">
        <f t="shared" si="6"/>
        <v>0</v>
      </c>
      <c r="BC13" s="1396"/>
      <c r="BD13" s="1397">
        <f t="shared" si="7"/>
        <v>109540753.33</v>
      </c>
      <c r="BE13" s="1389">
        <f>'Проверочная  таблица'!M18+'Проверочная  таблица'!U18+'Проверочная  таблица'!AM18</f>
        <v>19115420</v>
      </c>
      <c r="BF13" s="1370">
        <f>'Проверочная  таблица'!CA18+'Проверочная  таблица'!CO18+'Проверочная  таблица'!BS18+'Проверочная  таблица'!VI18+'Проверочная  таблица'!OG18+'Проверочная  таблица'!KM18+'Проверочная  таблица'!PT18+'Проверочная  таблица'!BF18+'Проверочная  таблица'!FW18+'Проверочная  таблица'!DS18+'Проверочная  таблица'!QW18+'Проверочная  таблица'!UU18+'Проверочная  таблица'!MX18+'Проверочная  таблица'!LS18+'Проверочная  таблица'!SA18+'Проверочная  таблица'!IM18+'Проверочная  таблица'!HK18+'Проверочная  таблица'!GU18+'Проверочная  таблица'!JE18</f>
        <v>86660033.329999998</v>
      </c>
      <c r="BG13" s="1398"/>
      <c r="BH13" s="1399">
        <f>'Проверочная  таблица'!ZX18+'Проверочная  таблица'!XW18</f>
        <v>3765300</v>
      </c>
      <c r="BI13" s="1391"/>
      <c r="BK13" s="1380">
        <f t="shared" si="10"/>
        <v>1334675.4572700001</v>
      </c>
      <c r="BL13" s="1380">
        <f t="shared" si="11"/>
        <v>995293.95781000005</v>
      </c>
      <c r="BM13" s="1380">
        <f t="shared" si="12"/>
        <v>20298.298109999985</v>
      </c>
      <c r="BN13" s="1380">
        <f t="shared" si="13"/>
        <v>319083.20135000005</v>
      </c>
    </row>
    <row r="14" spans="1:66" ht="24.75" customHeight="1" x14ac:dyDescent="0.25">
      <c r="A14" s="518" t="s">
        <v>321</v>
      </c>
      <c r="B14" s="1381">
        <f>'Проверочная  таблица'!B19</f>
        <v>1119140932.4700003</v>
      </c>
      <c r="C14" s="1382">
        <f>'Проверочная  таблица'!D19</f>
        <v>197510134.72999999</v>
      </c>
      <c r="D14" s="1383">
        <f>'Проверочная  таблица'!AN19</f>
        <v>408246854.29000008</v>
      </c>
      <c r="E14" s="1381">
        <f>'Проверочная  таблица'!VJ19</f>
        <v>438055717.56999999</v>
      </c>
      <c r="F14" s="1384">
        <f>'Проверочная  таблица'!WR19</f>
        <v>75328225.879999995</v>
      </c>
      <c r="G14" s="1384"/>
      <c r="H14" s="1365">
        <f t="shared" si="0"/>
        <v>878527617.62000024</v>
      </c>
      <c r="I14" s="1385">
        <f t="shared" si="0"/>
        <v>23114223</v>
      </c>
      <c r="J14" s="1365">
        <f t="shared" si="0"/>
        <v>373969309.22000009</v>
      </c>
      <c r="K14" s="1385">
        <f t="shared" si="0"/>
        <v>435111417.56999999</v>
      </c>
      <c r="L14" s="1385">
        <f t="shared" si="0"/>
        <v>46332667.829999998</v>
      </c>
      <c r="M14" s="1365"/>
      <c r="N14" s="1386">
        <f t="shared" si="8"/>
        <v>240613314.84999999</v>
      </c>
      <c r="O14" s="1385">
        <f>'Проверочная  таблица'!P19+'Проверочная  таблица'!AD19+'Проверочная  таблица'!H19</f>
        <v>174395911.72999999</v>
      </c>
      <c r="P14" s="1365">
        <f>'Проверочная  таблица'!BL19+'Проверочная  таблица'!BV19+'Проверочная  таблица'!CJ19+'Проверочная  таблица'!NR19+'Проверочная  таблица'!OZ19+'Проверочная  таблица'!JX19+'Проверочная  таблица'!VD19+'Проверочная  таблица'!AV19+'Проверочная  таблица'!FH19+'Проверочная  таблица'!DJ19+'Проверочная  таблица'!QH19+'Проверочная  таблица'!TL19+'Проверочная  таблица'!MD19+'Проверочная  таблица'!KZ19+'Проверочная  таблица'!RL19+'Проверочная  таблица'!HX19+'Проверочная  таблица'!HD19+'Проверочная  таблица'!GL19+'Проверочная  таблица'!IV19</f>
        <v>34277545.07</v>
      </c>
      <c r="Q14" s="1386">
        <f>'Проверочная  таблица'!VV19</f>
        <v>2944300</v>
      </c>
      <c r="R14" s="1381">
        <f>'Проверочная  таблица'!YT19+'Проверочная  таблица'!XP19</f>
        <v>28995558.050000001</v>
      </c>
      <c r="S14" s="1387"/>
      <c r="T14" s="1388">
        <f t="shared" si="1"/>
        <v>238725930.16</v>
      </c>
      <c r="U14" s="1388">
        <f t="shared" si="2"/>
        <v>174395911.72999999</v>
      </c>
      <c r="V14" s="1389">
        <f t="shared" si="2"/>
        <v>32390160.379999999</v>
      </c>
      <c r="W14" s="1390">
        <f t="shared" si="2"/>
        <v>2944300</v>
      </c>
      <c r="X14" s="1389">
        <f t="shared" si="2"/>
        <v>28995558.050000001</v>
      </c>
      <c r="Y14" s="1391"/>
      <c r="Z14" s="1390">
        <f t="shared" si="3"/>
        <v>1887384.69</v>
      </c>
      <c r="AA14" s="1388">
        <f>'Проверочная  таблица'!AL19+'Проверочная  таблица'!T19+'Проверочная  таблица'!L19</f>
        <v>0</v>
      </c>
      <c r="AB14" s="1368">
        <f>'Проверочная  таблица'!BZ19+'Проверочная  таблица'!CN19+'Проверочная  таблица'!BR19+'Проверочная  таблица'!VH19+'Проверочная  таблица'!OD19+'Проверочная  таблица'!KJ19+'Проверочная  таблица'!PP19+'Проверочная  таблица'!BD19+'Проверочная  таблица'!FT19+'Проверочная  таблица'!DR19+'Проверочная  таблица'!QT19+'Проверочная  таблица'!UN19+'Проверочная  таблица'!MT19+'Проверочная  таблица'!LP19+'Проверочная  таблица'!RX19+'Проверочная  таблица'!IJ19+'Проверочная  таблица'!HJ19+'Проверочная  таблица'!GT19+'Проверочная  таблица'!JD19</f>
        <v>1887384.69</v>
      </c>
      <c r="AC14" s="1390"/>
      <c r="AD14" s="1392">
        <f>'Проверочная  таблица'!ZR19+'Проверочная  таблица'!XV19</f>
        <v>0</v>
      </c>
      <c r="AE14" s="1393"/>
      <c r="AF14" s="1384">
        <f>'Проверочная  таблица'!C19</f>
        <v>350987725.00999999</v>
      </c>
      <c r="AG14" s="1382">
        <f>'Проверочная  таблица'!E19</f>
        <v>49169092.380000003</v>
      </c>
      <c r="AH14" s="1383">
        <f>'Проверочная  таблица'!AO19</f>
        <v>39732707.019999996</v>
      </c>
      <c r="AI14" s="1381">
        <f>'Проверочная  таблица'!VM19</f>
        <v>246117888.25999999</v>
      </c>
      <c r="AJ14" s="1387">
        <f>'Проверочная  таблица'!WS19</f>
        <v>15968037.350000001</v>
      </c>
      <c r="AK14" s="1384"/>
      <c r="AL14" s="1365">
        <f t="shared" si="4"/>
        <v>304500203.07999998</v>
      </c>
      <c r="AM14" s="1385">
        <f t="shared" si="4"/>
        <v>12307111</v>
      </c>
      <c r="AN14" s="1365">
        <f t="shared" si="4"/>
        <v>31279947.709999997</v>
      </c>
      <c r="AO14" s="1385">
        <f t="shared" si="4"/>
        <v>244945107.01999998</v>
      </c>
      <c r="AP14" s="1385">
        <f t="shared" si="4"/>
        <v>15968037.350000001</v>
      </c>
      <c r="AQ14" s="1365"/>
      <c r="AR14" s="1386">
        <f t="shared" si="9"/>
        <v>46487521.93</v>
      </c>
      <c r="AS14" s="1386">
        <f>'Проверочная  таблица'!Q19+'Проверочная  таблица'!AG19+'Проверочная  таблица'!I19</f>
        <v>36861981.380000003</v>
      </c>
      <c r="AT14" s="1385">
        <f>'Проверочная  таблица'!VE19+'Проверочная  таблица'!CK19+'Проверочная  таблица'!BW19+'Проверочная  таблица'!BN19+'Проверочная  таблица'!NU19+'Проверочная  таблица'!KA19+'Проверочная  таблица'!PD19+'Проверочная  таблица'!AX19+'Проверочная  таблица'!FK19+'Проверочная  таблица'!DM19+'Проверочная  таблица'!QK19+'Проверочная  таблица'!TS19+'Проверочная  таблица'!MH19+'Проверочная  таблица'!LE19+'Проверочная  таблица'!RO19+'Проверочная  таблица'!IA19+'Проверочная  таблица'!HF19+'Проверочная  таблица'!GO19+'Проверочная  таблица'!IY19</f>
        <v>8452759.3099999987</v>
      </c>
      <c r="AU14" s="1387">
        <f>'Проверочная  таблица'!VW19</f>
        <v>1172781.24</v>
      </c>
      <c r="AV14" s="1394">
        <f>'Проверочная  таблица'!YZ19+'Проверочная  таблица'!XR19</f>
        <v>0</v>
      </c>
      <c r="AW14" s="1395"/>
      <c r="AX14" s="1389">
        <f t="shared" si="5"/>
        <v>46487521.93</v>
      </c>
      <c r="AY14" s="1390">
        <f t="shared" si="6"/>
        <v>36861981.380000003</v>
      </c>
      <c r="AZ14" s="1389">
        <f t="shared" si="6"/>
        <v>8452759.3099999987</v>
      </c>
      <c r="BA14" s="1390">
        <f t="shared" si="6"/>
        <v>1172781.24</v>
      </c>
      <c r="BB14" s="1389">
        <f t="shared" si="6"/>
        <v>0</v>
      </c>
      <c r="BC14" s="1396"/>
      <c r="BD14" s="1397">
        <f t="shared" si="7"/>
        <v>0</v>
      </c>
      <c r="BE14" s="1389">
        <f>'Проверочная  таблица'!M19+'Проверочная  таблица'!U19+'Проверочная  таблица'!AM19</f>
        <v>0</v>
      </c>
      <c r="BF14" s="1370">
        <f>'Проверочная  таблица'!CA19+'Проверочная  таблица'!CO19+'Проверочная  таблица'!BS19+'Проверочная  таблица'!VI19+'Проверочная  таблица'!OG19+'Проверочная  таблица'!KM19+'Проверочная  таблица'!PT19+'Проверочная  таблица'!BF19+'Проверочная  таблица'!FW19+'Проверочная  таблица'!DS19+'Проверочная  таблица'!QW19+'Проверочная  таблица'!UU19+'Проверочная  таблица'!MX19+'Проверочная  таблица'!LS19+'Проверочная  таблица'!SA19+'Проверочная  таблица'!IM19+'Проверочная  таблица'!HK19+'Проверочная  таблица'!GU19+'Проверочная  таблица'!JE19</f>
        <v>0</v>
      </c>
      <c r="BG14" s="1398"/>
      <c r="BH14" s="1399">
        <f>'Проверочная  таблица'!ZX19+'Проверочная  таблица'!XW19</f>
        <v>0</v>
      </c>
      <c r="BI14" s="1391"/>
      <c r="BK14" s="1380">
        <f t="shared" si="10"/>
        <v>921630.79774000018</v>
      </c>
      <c r="BL14" s="1380">
        <f t="shared" si="11"/>
        <v>855413.39462000015</v>
      </c>
      <c r="BM14" s="1380">
        <f t="shared" si="12"/>
        <v>64330.018429999989</v>
      </c>
      <c r="BN14" s="1380">
        <f t="shared" si="13"/>
        <v>1887.3846899999999</v>
      </c>
    </row>
    <row r="15" spans="1:66" ht="24.75" customHeight="1" x14ac:dyDescent="0.25">
      <c r="A15" s="520" t="s">
        <v>322</v>
      </c>
      <c r="B15" s="1381">
        <f>'Проверочная  таблица'!B14</f>
        <v>2223065258.9200001</v>
      </c>
      <c r="C15" s="1382">
        <f>'Проверочная  таблица'!D14</f>
        <v>277568949</v>
      </c>
      <c r="D15" s="1383">
        <f>'Проверочная  таблица'!AN14</f>
        <v>1343758728.6900001</v>
      </c>
      <c r="E15" s="1381">
        <f>'Проверочная  таблица'!VJ14</f>
        <v>489031214.16000003</v>
      </c>
      <c r="F15" s="1384">
        <f>'Проверочная  таблица'!WR14</f>
        <v>112706367.06999999</v>
      </c>
      <c r="G15" s="1384"/>
      <c r="H15" s="1365">
        <f t="shared" si="0"/>
        <v>2219237633.6300001</v>
      </c>
      <c r="I15" s="1385">
        <f t="shared" si="0"/>
        <v>277568949</v>
      </c>
      <c r="J15" s="1365">
        <f t="shared" si="0"/>
        <v>1339931103.4000001</v>
      </c>
      <c r="K15" s="1385">
        <f t="shared" si="0"/>
        <v>489031214.16000003</v>
      </c>
      <c r="L15" s="1385">
        <f t="shared" si="0"/>
        <v>112706367.06999999</v>
      </c>
      <c r="M15" s="1365"/>
      <c r="N15" s="1386">
        <f t="shared" si="8"/>
        <v>3827625.29</v>
      </c>
      <c r="O15" s="1385">
        <f>'Проверочная  таблица'!P14+'Проверочная  таблица'!AD14+'Проверочная  таблица'!H14</f>
        <v>0</v>
      </c>
      <c r="P15" s="1365">
        <f>'Проверочная  таблица'!BL14+'Проверочная  таблица'!BV14+'Проверочная  таблица'!CJ14+'Проверочная  таблица'!NR14+'Проверочная  таблица'!OZ14+'Проверочная  таблица'!JX14+'Проверочная  таблица'!VD14+'Проверочная  таблица'!AV14+'Проверочная  таблица'!FH14+'Проверочная  таблица'!DJ14+'Проверочная  таблица'!QH14+'Проверочная  таблица'!TL14+'Проверочная  таблица'!MD14+'Проверочная  таблица'!KZ14+'Проверочная  таблица'!RL14+'Проверочная  таблица'!HX14+'Проверочная  таблица'!HD14+'Проверочная  таблица'!GL14+'Проверочная  таблица'!IV14</f>
        <v>3827625.29</v>
      </c>
      <c r="Q15" s="1386">
        <f>'Проверочная  таблица'!VV14</f>
        <v>0</v>
      </c>
      <c r="R15" s="1381">
        <f>'Проверочная  таблица'!YT14+'Проверочная  таблица'!XP14</f>
        <v>0</v>
      </c>
      <c r="S15" s="1400"/>
      <c r="T15" s="1388">
        <f t="shared" si="1"/>
        <v>3189404.01</v>
      </c>
      <c r="U15" s="1388">
        <f t="shared" si="2"/>
        <v>0</v>
      </c>
      <c r="V15" s="1389">
        <f t="shared" si="2"/>
        <v>3189404.01</v>
      </c>
      <c r="W15" s="1390">
        <f t="shared" si="2"/>
        <v>0</v>
      </c>
      <c r="X15" s="1389">
        <f t="shared" si="2"/>
        <v>0</v>
      </c>
      <c r="Y15" s="1391"/>
      <c r="Z15" s="1390">
        <f t="shared" si="3"/>
        <v>638221.28</v>
      </c>
      <c r="AA15" s="1388">
        <f>'Проверочная  таблица'!AL14+'Проверочная  таблица'!T14+'Проверочная  таблица'!L14</f>
        <v>0</v>
      </c>
      <c r="AB15" s="1368">
        <f>'Проверочная  таблица'!BZ14+'Проверочная  таблица'!CN14+'Проверочная  таблица'!BR14+'Проверочная  таблица'!VH14+'Проверочная  таблица'!OD14+'Проверочная  таблица'!KJ14+'Проверочная  таблица'!PP14+'Проверочная  таблица'!BD14+'Проверочная  таблица'!FT14+'Проверочная  таблица'!DR14+'Проверочная  таблица'!QT14+'Проверочная  таблица'!UN14+'Проверочная  таблица'!MT14+'Проверочная  таблица'!LP14+'Проверочная  таблица'!RX14+'Проверочная  таблица'!IJ14+'Проверочная  таблица'!HJ14+'Проверочная  таблица'!GT14+'Проверочная  таблица'!JD14</f>
        <v>638221.28</v>
      </c>
      <c r="AC15" s="1390"/>
      <c r="AD15" s="1392">
        <f>'Проверочная  таблица'!ZR14+'Проверочная  таблица'!XV14</f>
        <v>0</v>
      </c>
      <c r="AE15" s="1400"/>
      <c r="AF15" s="1384">
        <f>'Проверочная  таблица'!C14</f>
        <v>772221927.5200001</v>
      </c>
      <c r="AG15" s="1382">
        <f>'Проверочная  таблица'!E14</f>
        <v>105770000</v>
      </c>
      <c r="AH15" s="1383">
        <f>'Проверочная  таблица'!AO14</f>
        <v>372166939.46000004</v>
      </c>
      <c r="AI15" s="1381">
        <f>'Проверочная  таблица'!VM14</f>
        <v>261336011.19000003</v>
      </c>
      <c r="AJ15" s="1387">
        <f>'Проверочная  таблица'!WS14</f>
        <v>32948976.869999997</v>
      </c>
      <c r="AK15" s="1384"/>
      <c r="AL15" s="1365">
        <f t="shared" si="4"/>
        <v>772221927.5200001</v>
      </c>
      <c r="AM15" s="1385">
        <f t="shared" si="4"/>
        <v>105770000</v>
      </c>
      <c r="AN15" s="1365">
        <f t="shared" si="4"/>
        <v>372166939.46000004</v>
      </c>
      <c r="AO15" s="1385">
        <f t="shared" si="4"/>
        <v>261336011.19000003</v>
      </c>
      <c r="AP15" s="1385">
        <f t="shared" si="4"/>
        <v>32948976.869999997</v>
      </c>
      <c r="AQ15" s="1365"/>
      <c r="AR15" s="1386">
        <f t="shared" si="9"/>
        <v>0</v>
      </c>
      <c r="AS15" s="1386">
        <f>'Проверочная  таблица'!Q14+'Проверочная  таблица'!AG14+'Проверочная  таблица'!I14</f>
        <v>0</v>
      </c>
      <c r="AT15" s="1385">
        <f>'Проверочная  таблица'!VE14+'Проверочная  таблица'!CK14+'Проверочная  таблица'!BW14+'Проверочная  таблица'!BN14+'Проверочная  таблица'!NU14+'Проверочная  таблица'!KA14+'Проверочная  таблица'!PD14+'Проверочная  таблица'!AX14+'Проверочная  таблица'!FK14+'Проверочная  таблица'!DM14+'Проверочная  таблица'!QK14+'Проверочная  таблица'!TS14+'Проверочная  таблица'!MH14+'Проверочная  таблица'!LE14+'Проверочная  таблица'!RO14+'Проверочная  таблица'!IA14+'Проверочная  таблица'!HF14+'Проверочная  таблица'!GO14+'Проверочная  таблица'!IY14</f>
        <v>0</v>
      </c>
      <c r="AU15" s="1387">
        <f>'Проверочная  таблица'!VW14</f>
        <v>0</v>
      </c>
      <c r="AV15" s="1394">
        <f>'Проверочная  таблица'!YZ14+'Проверочная  таблица'!XR14</f>
        <v>0</v>
      </c>
      <c r="AW15" s="1401"/>
      <c r="AX15" s="1389">
        <f t="shared" si="5"/>
        <v>0</v>
      </c>
      <c r="AY15" s="1390">
        <f t="shared" si="6"/>
        <v>0</v>
      </c>
      <c r="AZ15" s="1389">
        <f t="shared" si="6"/>
        <v>0</v>
      </c>
      <c r="BA15" s="1390">
        <f t="shared" si="6"/>
        <v>0</v>
      </c>
      <c r="BB15" s="1389">
        <f t="shared" si="6"/>
        <v>0</v>
      </c>
      <c r="BC15" s="1396"/>
      <c r="BD15" s="1397">
        <f t="shared" si="7"/>
        <v>0</v>
      </c>
      <c r="BE15" s="1389">
        <f>'Проверочная  таблица'!M14+'Проверочная  таблица'!U14+'Проверочная  таблица'!AM14</f>
        <v>0</v>
      </c>
      <c r="BF15" s="1370">
        <f>'Проверочная  таблица'!CA14+'Проверочная  таблица'!CO14+'Проверочная  таблица'!BS14+'Проверочная  таблица'!VI14+'Проверочная  таблица'!OG14+'Проверочная  таблица'!KM14+'Проверочная  таблица'!PT14+'Проверочная  таблица'!BF14+'Проверочная  таблица'!FW14+'Проверочная  таблица'!DS14+'Проверочная  таблица'!QW14+'Проверочная  таблица'!UU14+'Проверочная  таблица'!MX14+'Проверочная  таблица'!LS14+'Проверочная  таблица'!SA14+'Проверочная  таблица'!IM14+'Проверочная  таблица'!HK14+'Проверочная  таблица'!GU14+'Проверочная  таблица'!JE14</f>
        <v>0</v>
      </c>
      <c r="BG15" s="1398"/>
      <c r="BH15" s="1399">
        <f>'Проверочная  таблица'!ZX14+'Проверочная  таблица'!XW14</f>
        <v>0</v>
      </c>
      <c r="BI15" s="1391"/>
      <c r="BK15" s="1380">
        <f t="shared" si="10"/>
        <v>1945496.3099200001</v>
      </c>
      <c r="BL15" s="1380">
        <f t="shared" si="11"/>
        <v>1941668.68463</v>
      </c>
      <c r="BM15" s="1380">
        <f t="shared" si="12"/>
        <v>3189.4040099999997</v>
      </c>
      <c r="BN15" s="1380">
        <f t="shared" si="13"/>
        <v>638.22127999999998</v>
      </c>
    </row>
    <row r="16" spans="1:66" ht="24.75" customHeight="1" x14ac:dyDescent="0.25">
      <c r="A16" s="518" t="s">
        <v>323</v>
      </c>
      <c r="B16" s="1381">
        <f>'Проверочная  таблица'!B20</f>
        <v>699882751.94000018</v>
      </c>
      <c r="C16" s="1382">
        <f>'Проверочная  таблица'!D20</f>
        <v>70954135.349999994</v>
      </c>
      <c r="D16" s="1383">
        <f>'Проверочная  таблица'!AN20</f>
        <v>261934865.61000001</v>
      </c>
      <c r="E16" s="1381">
        <f>'Проверочная  таблица'!VJ20</f>
        <v>289200218.29000008</v>
      </c>
      <c r="F16" s="1384">
        <f>'Проверочная  таблица'!WR20</f>
        <v>77793532.690000013</v>
      </c>
      <c r="G16" s="1384"/>
      <c r="H16" s="1365">
        <f t="shared" si="0"/>
        <v>627928442.61000013</v>
      </c>
      <c r="I16" s="1385">
        <f t="shared" si="0"/>
        <v>25203203</v>
      </c>
      <c r="J16" s="1365">
        <f t="shared" si="0"/>
        <v>246530348.83000001</v>
      </c>
      <c r="K16" s="1385">
        <f t="shared" si="0"/>
        <v>287430918.29000008</v>
      </c>
      <c r="L16" s="1385">
        <f t="shared" si="0"/>
        <v>68763972.49000001</v>
      </c>
      <c r="M16" s="1365"/>
      <c r="N16" s="1386">
        <f t="shared" si="8"/>
        <v>71954309.329999998</v>
      </c>
      <c r="O16" s="1385">
        <f>'Проверочная  таблица'!P20+'Проверочная  таблица'!AD20+'Проверочная  таблица'!H20</f>
        <v>45750932.349999994</v>
      </c>
      <c r="P16" s="1365">
        <f>'Проверочная  таблица'!BL20+'Проверочная  таблица'!BV20+'Проверочная  таблица'!CJ20+'Проверочная  таблица'!NR20+'Проверочная  таблица'!OZ20+'Проверочная  таблица'!JX20+'Проверочная  таблица'!VD20+'Проверочная  таблица'!AV20+'Проверочная  таблица'!FH20+'Проверочная  таблица'!DJ20+'Проверочная  таблица'!QH20+'Проверочная  таблица'!TL20+'Проверочная  таблица'!MD20+'Проверочная  таблица'!KZ20+'Проверочная  таблица'!RL20+'Проверочная  таблица'!HX20+'Проверочная  таблица'!HD20+'Проверочная  таблица'!GL20+'Проверочная  таблица'!IV20</f>
        <v>15404516.779999999</v>
      </c>
      <c r="Q16" s="1386">
        <f>'Проверочная  таблица'!VV20</f>
        <v>1769300</v>
      </c>
      <c r="R16" s="1381">
        <f>'Проверочная  таблица'!YT20+'Проверочная  таблица'!XP20</f>
        <v>9029560.1999999993</v>
      </c>
      <c r="S16" s="1387"/>
      <c r="T16" s="1388">
        <f t="shared" si="1"/>
        <v>68985043.049999997</v>
      </c>
      <c r="U16" s="1388">
        <f t="shared" si="2"/>
        <v>45750932.349999994</v>
      </c>
      <c r="V16" s="1389">
        <f t="shared" si="2"/>
        <v>12435250.5</v>
      </c>
      <c r="W16" s="1390">
        <f t="shared" si="2"/>
        <v>1769300</v>
      </c>
      <c r="X16" s="1389">
        <f t="shared" si="2"/>
        <v>9029560.1999999993</v>
      </c>
      <c r="Y16" s="1391"/>
      <c r="Z16" s="1390">
        <f t="shared" si="3"/>
        <v>2969266.2800000003</v>
      </c>
      <c r="AA16" s="1388">
        <f>'Проверочная  таблица'!AL20+'Проверочная  таблица'!T20+'Проверочная  таблица'!L20</f>
        <v>0</v>
      </c>
      <c r="AB16" s="1368">
        <f>'Проверочная  таблица'!BZ20+'Проверочная  таблица'!CN20+'Проверочная  таблица'!BR20+'Проверочная  таблица'!VH20+'Проверочная  таблица'!OD20+'Проверочная  таблица'!KJ20+'Проверочная  таблица'!PP20+'Проверочная  таблица'!BD20+'Проверочная  таблица'!FT20+'Проверочная  таблица'!DR20+'Проверочная  таблица'!QT20+'Проверочная  таблица'!UN20+'Проверочная  таблица'!MT20+'Проверочная  таблица'!LP20+'Проверочная  таблица'!RX20+'Проверочная  таблица'!IJ20+'Проверочная  таблица'!HJ20+'Проверочная  таблица'!GT20+'Проверочная  таблица'!JD20</f>
        <v>2969266.2800000003</v>
      </c>
      <c r="AC16" s="1390"/>
      <c r="AD16" s="1392">
        <f>'Проверочная  таблица'!ZR20+'Проверочная  таблица'!XV20</f>
        <v>0</v>
      </c>
      <c r="AE16" s="1387"/>
      <c r="AF16" s="1384">
        <f>'Проверочная  таблица'!C20</f>
        <v>263175525.05000001</v>
      </c>
      <c r="AG16" s="1382">
        <f>'Проверочная  таблица'!E20</f>
        <v>35943860</v>
      </c>
      <c r="AH16" s="1383">
        <f>'Проверочная  таблица'!AO20</f>
        <v>33572481.020000003</v>
      </c>
      <c r="AI16" s="1381">
        <f>'Проверочная  таблица'!VM20</f>
        <v>168819382.69</v>
      </c>
      <c r="AJ16" s="1387">
        <f>'Проверочная  таблица'!WS20</f>
        <v>24839801.340000004</v>
      </c>
      <c r="AK16" s="1384"/>
      <c r="AL16" s="1365">
        <f t="shared" si="4"/>
        <v>237106506.27000001</v>
      </c>
      <c r="AM16" s="1385">
        <f t="shared" si="4"/>
        <v>13101400</v>
      </c>
      <c r="AN16" s="1365">
        <f t="shared" si="4"/>
        <v>31070747.840000004</v>
      </c>
      <c r="AO16" s="1385">
        <f t="shared" si="4"/>
        <v>168094557.09</v>
      </c>
      <c r="AP16" s="1385">
        <f t="shared" si="4"/>
        <v>24839801.340000004</v>
      </c>
      <c r="AQ16" s="1365"/>
      <c r="AR16" s="1386">
        <f t="shared" si="9"/>
        <v>26069018.780000001</v>
      </c>
      <c r="AS16" s="1386">
        <f>'Проверочная  таблица'!Q20+'Проверочная  таблица'!AG20+'Проверочная  таблица'!I20</f>
        <v>22842460</v>
      </c>
      <c r="AT16" s="1385">
        <f>'Проверочная  таблица'!VE20+'Проверочная  таблица'!CK20+'Проверочная  таблица'!BW20+'Проверочная  таблица'!BN20+'Проверочная  таблица'!NU20+'Проверочная  таблица'!KA20+'Проверочная  таблица'!PD20+'Проверочная  таблица'!AX20+'Проверочная  таблица'!FK20+'Проверочная  таблица'!DM20+'Проверочная  таблица'!QK20+'Проверочная  таблица'!TS20+'Проверочная  таблица'!MH20+'Проверочная  таблица'!LE20+'Проверочная  таблица'!RO20+'Проверочная  таблица'!IA20+'Проверочная  таблица'!HF20+'Проверочная  таблица'!GO20+'Проверочная  таблица'!IY20</f>
        <v>2501733.1799999997</v>
      </c>
      <c r="AU16" s="1387">
        <f>'Проверочная  таблица'!VW20</f>
        <v>724825.59999999986</v>
      </c>
      <c r="AV16" s="1394">
        <f>'Проверочная  таблица'!YZ20+'Проверочная  таблица'!XR20</f>
        <v>0</v>
      </c>
      <c r="AW16" s="1395"/>
      <c r="AX16" s="1389">
        <f t="shared" si="5"/>
        <v>26069018.780000001</v>
      </c>
      <c r="AY16" s="1390">
        <f t="shared" si="6"/>
        <v>22842460</v>
      </c>
      <c r="AZ16" s="1389">
        <f t="shared" si="6"/>
        <v>2501733.1799999997</v>
      </c>
      <c r="BA16" s="1390">
        <f t="shared" si="6"/>
        <v>724825.59999999986</v>
      </c>
      <c r="BB16" s="1389">
        <f t="shared" si="6"/>
        <v>0</v>
      </c>
      <c r="BC16" s="1396"/>
      <c r="BD16" s="1397">
        <f t="shared" si="7"/>
        <v>0</v>
      </c>
      <c r="BE16" s="1389">
        <f>'Проверочная  таблица'!M20+'Проверочная  таблица'!U20+'Проверочная  таблица'!AM20</f>
        <v>0</v>
      </c>
      <c r="BF16" s="1370">
        <f>'Проверочная  таблица'!CA20+'Проверочная  таблица'!CO20+'Проверочная  таблица'!BS20+'Проверочная  таблица'!VI20+'Проверочная  таблица'!OG20+'Проверочная  таблица'!KM20+'Проверочная  таблица'!PT20+'Проверочная  таблица'!BF20+'Проверочная  таблица'!FW20+'Проверочная  таблица'!DS20+'Проверочная  таблица'!QW20+'Проверочная  таблица'!UU20+'Проверочная  таблица'!MX20+'Проверочная  таблица'!LS20+'Проверочная  таблица'!SA20+'Проверочная  таблица'!IM20+'Проверочная  таблица'!HK20+'Проверочная  таблица'!GU20+'Проверочная  таблица'!JE20</f>
        <v>0</v>
      </c>
      <c r="BG16" s="1398"/>
      <c r="BH16" s="1399">
        <f>'Проверочная  таблица'!ZX20+'Проверочная  таблица'!XW20</f>
        <v>0</v>
      </c>
      <c r="BI16" s="1391"/>
      <c r="BK16" s="1380">
        <f t="shared" si="10"/>
        <v>628928.61659000011</v>
      </c>
      <c r="BL16" s="1380">
        <f t="shared" si="11"/>
        <v>602725.23961000016</v>
      </c>
      <c r="BM16" s="1380">
        <f t="shared" si="12"/>
        <v>23234.110699999997</v>
      </c>
      <c r="BN16" s="1380">
        <f t="shared" si="13"/>
        <v>2969.2662800000003</v>
      </c>
    </row>
    <row r="17" spans="1:66" ht="24.75" customHeight="1" x14ac:dyDescent="0.25">
      <c r="A17" s="519" t="s">
        <v>324</v>
      </c>
      <c r="B17" s="1381">
        <f>'Проверочная  таблица'!B21</f>
        <v>751289871.16000009</v>
      </c>
      <c r="C17" s="1382">
        <f>'Проверочная  таблица'!D21</f>
        <v>101798448.21000001</v>
      </c>
      <c r="D17" s="1383">
        <f>'Проверочная  таблица'!AN21</f>
        <v>77752861.389999986</v>
      </c>
      <c r="E17" s="1381">
        <f>'Проверочная  таблица'!VJ21</f>
        <v>491623883.75</v>
      </c>
      <c r="F17" s="1384">
        <f>'Проверочная  таблица'!WR21</f>
        <v>80114677.810000002</v>
      </c>
      <c r="G17" s="1384"/>
      <c r="H17" s="1365">
        <f t="shared" si="0"/>
        <v>632542002.5200001</v>
      </c>
      <c r="I17" s="1385">
        <f t="shared" si="0"/>
        <v>30956877</v>
      </c>
      <c r="J17" s="1365">
        <f t="shared" si="0"/>
        <v>56419980.729999989</v>
      </c>
      <c r="K17" s="1385">
        <f t="shared" si="0"/>
        <v>488837483.75</v>
      </c>
      <c r="L17" s="1385">
        <f t="shared" si="0"/>
        <v>56327661.040000007</v>
      </c>
      <c r="M17" s="1365"/>
      <c r="N17" s="1386">
        <f t="shared" si="8"/>
        <v>118747868.64</v>
      </c>
      <c r="O17" s="1385">
        <f>'Проверочная  таблица'!P21+'Проверочная  таблица'!AD21+'Проверочная  таблица'!H21</f>
        <v>70841571.210000008</v>
      </c>
      <c r="P17" s="1365">
        <f>'Проверочная  таблица'!BL21+'Проверочная  таблица'!BV21+'Проверочная  таблица'!CJ21+'Проверочная  таблица'!NR21+'Проверочная  таблица'!OZ21+'Проверочная  таблица'!JX21+'Проверочная  таблица'!VD21+'Проверочная  таблица'!AV21+'Проверочная  таблица'!FH21+'Проверочная  таблица'!DJ21+'Проверочная  таблица'!QH21+'Проверочная  таблица'!TL21+'Проверочная  таблица'!MD21+'Проверочная  таблица'!KZ21+'Проверочная  таблица'!RL21+'Проверочная  таблица'!HX21+'Проверочная  таблица'!HD21+'Проверочная  таблица'!GL21+'Проверочная  таблица'!IV21</f>
        <v>21332880.66</v>
      </c>
      <c r="Q17" s="1386">
        <f>'Проверочная  таблица'!VV21</f>
        <v>2786400</v>
      </c>
      <c r="R17" s="1381">
        <f>'Проверочная  таблица'!YT21+'Проверочная  таблица'!XP21</f>
        <v>23787016.77</v>
      </c>
      <c r="S17" s="1387"/>
      <c r="T17" s="1388">
        <f t="shared" si="1"/>
        <v>116785081.10000001</v>
      </c>
      <c r="U17" s="1388">
        <f t="shared" si="2"/>
        <v>70841571.210000008</v>
      </c>
      <c r="V17" s="1389">
        <f t="shared" si="2"/>
        <v>19370093.120000001</v>
      </c>
      <c r="W17" s="1390">
        <f t="shared" si="2"/>
        <v>2786400</v>
      </c>
      <c r="X17" s="1389">
        <f t="shared" si="2"/>
        <v>23787016.77</v>
      </c>
      <c r="Y17" s="1391"/>
      <c r="Z17" s="1390">
        <f t="shared" si="3"/>
        <v>1962787.5399999998</v>
      </c>
      <c r="AA17" s="1388">
        <f>'Проверочная  таблица'!AL21+'Проверочная  таблица'!T21+'Проверочная  таблица'!L21</f>
        <v>0</v>
      </c>
      <c r="AB17" s="1368">
        <f>'Проверочная  таблица'!BZ21+'Проверочная  таблица'!CN21+'Проверочная  таблица'!BR21+'Проверочная  таблица'!VH21+'Проверочная  таблица'!OD21+'Проверочная  таблица'!KJ21+'Проверочная  таблица'!PP21+'Проверочная  таблица'!BD21+'Проверочная  таблица'!FT21+'Проверочная  таблица'!DR21+'Проверочная  таблица'!QT21+'Проверочная  таблица'!UN21+'Проверочная  таблица'!MT21+'Проверочная  таблица'!LP21+'Проверочная  таблица'!RX21+'Проверочная  таблица'!IJ21+'Проверочная  таблица'!HJ21+'Проверочная  таблица'!GT21+'Проверочная  таблица'!JD21</f>
        <v>1962787.5399999998</v>
      </c>
      <c r="AC17" s="1390"/>
      <c r="AD17" s="1392">
        <f>'Проверочная  таблица'!ZR21+'Проверочная  таблица'!XV21</f>
        <v>0</v>
      </c>
      <c r="AE17" s="1387"/>
      <c r="AF17" s="1384">
        <f>'Проверочная  таблица'!C21</f>
        <v>353206062.63999993</v>
      </c>
      <c r="AG17" s="1382">
        <f>'Проверочная  таблица'!E21</f>
        <v>53188938</v>
      </c>
      <c r="AH17" s="1383">
        <f>'Проверочная  таблица'!AO21</f>
        <v>10179644.780000001</v>
      </c>
      <c r="AI17" s="1381">
        <f>'Проверочная  таблица'!VM21</f>
        <v>263501013.53</v>
      </c>
      <c r="AJ17" s="1387">
        <f>'Проверочная  таблица'!WS21</f>
        <v>26336466.329999998</v>
      </c>
      <c r="AK17" s="1384"/>
      <c r="AL17" s="1365">
        <f t="shared" si="4"/>
        <v>294829458.61999995</v>
      </c>
      <c r="AM17" s="1385">
        <f t="shared" si="4"/>
        <v>15628470</v>
      </c>
      <c r="AN17" s="1365">
        <f t="shared" si="4"/>
        <v>1759653.1500000004</v>
      </c>
      <c r="AO17" s="1385">
        <f t="shared" si="4"/>
        <v>262293015.53</v>
      </c>
      <c r="AP17" s="1385">
        <f t="shared" si="4"/>
        <v>15148319.939999998</v>
      </c>
      <c r="AQ17" s="1365"/>
      <c r="AR17" s="1386">
        <f t="shared" si="9"/>
        <v>58376604.020000003</v>
      </c>
      <c r="AS17" s="1386">
        <f>'Проверочная  таблица'!Q21+'Проверочная  таблица'!AG21+'Проверочная  таблица'!I21</f>
        <v>37560468</v>
      </c>
      <c r="AT17" s="1385">
        <f>'Проверочная  таблица'!VE21+'Проверочная  таблица'!CK21+'Проверочная  таблица'!BW21+'Проверочная  таблица'!BN21+'Проверочная  таблица'!NU21+'Проверочная  таблица'!KA21+'Проверочная  таблица'!PD21+'Проверочная  таблица'!AX21+'Проверочная  таблица'!FK21+'Проверочная  таблица'!DM21+'Проверочная  таблица'!QK21+'Проверочная  таблица'!TS21+'Проверочная  таблица'!MH21+'Проверочная  таблица'!LE21+'Проверочная  таблица'!RO21+'Проверочная  таблица'!IA21+'Проверочная  таблица'!HF21+'Проверочная  таблица'!GO21+'Проверочная  таблица'!IY21</f>
        <v>8419991.6300000008</v>
      </c>
      <c r="AU17" s="1387">
        <f>'Проверочная  таблица'!VW21</f>
        <v>1207998</v>
      </c>
      <c r="AV17" s="1394">
        <f>'Проверочная  таблица'!YZ21+'Проверочная  таблица'!XR21</f>
        <v>11188146.390000001</v>
      </c>
      <c r="AW17" s="1395"/>
      <c r="AX17" s="1389">
        <f t="shared" si="5"/>
        <v>58376604.020000003</v>
      </c>
      <c r="AY17" s="1390">
        <f t="shared" si="6"/>
        <v>37560468</v>
      </c>
      <c r="AZ17" s="1389">
        <f t="shared" si="6"/>
        <v>8419991.6300000008</v>
      </c>
      <c r="BA17" s="1390">
        <f t="shared" si="6"/>
        <v>1207998</v>
      </c>
      <c r="BB17" s="1389">
        <f t="shared" si="6"/>
        <v>11188146.390000001</v>
      </c>
      <c r="BC17" s="1396"/>
      <c r="BD17" s="1397">
        <f t="shared" si="7"/>
        <v>0</v>
      </c>
      <c r="BE17" s="1389">
        <f>'Проверочная  таблица'!M21+'Проверочная  таблица'!U21+'Проверочная  таблица'!AM21</f>
        <v>0</v>
      </c>
      <c r="BF17" s="1370">
        <f>'Проверочная  таблица'!CA21+'Проверочная  таблица'!CO21+'Проверочная  таблица'!BS21+'Проверочная  таблица'!VI21+'Проверочная  таблица'!OG21+'Проверочная  таблица'!KM21+'Проверочная  таблица'!PT21+'Проверочная  таблица'!BF21+'Проверочная  таблица'!FW21+'Проверочная  таблица'!DS21+'Проверочная  таблица'!QW21+'Проверочная  таблица'!UU21+'Проверочная  таблица'!MX21+'Проверочная  таблица'!LS21+'Проверочная  таблица'!SA21+'Проверочная  таблица'!IM21+'Проверочная  таблица'!HK21+'Проверочная  таблица'!GU21+'Проверочная  таблица'!JE21</f>
        <v>0</v>
      </c>
      <c r="BG17" s="1398"/>
      <c r="BH17" s="1399">
        <f>'Проверочная  таблица'!ZX21+'Проверочная  таблица'!XW21</f>
        <v>0</v>
      </c>
      <c r="BI17" s="1391"/>
      <c r="BK17" s="1380">
        <f t="shared" si="10"/>
        <v>649491.42295000004</v>
      </c>
      <c r="BL17" s="1380">
        <f t="shared" si="11"/>
        <v>601585.12552</v>
      </c>
      <c r="BM17" s="1380">
        <f t="shared" si="12"/>
        <v>45943.509890000001</v>
      </c>
      <c r="BN17" s="1380">
        <f t="shared" si="13"/>
        <v>1962.7875399999998</v>
      </c>
    </row>
    <row r="18" spans="1:66" ht="24.75" customHeight="1" x14ac:dyDescent="0.25">
      <c r="A18" s="518" t="s">
        <v>325</v>
      </c>
      <c r="B18" s="1381">
        <f>'Проверочная  таблица'!B22</f>
        <v>1591606796.1400001</v>
      </c>
      <c r="C18" s="1382">
        <f>'Проверочная  таблица'!D22</f>
        <v>212486919.19</v>
      </c>
      <c r="D18" s="1383">
        <f>'Проверочная  таблица'!AN22</f>
        <v>863261091.72000003</v>
      </c>
      <c r="E18" s="1381">
        <f>'Проверочная  таблица'!VJ22</f>
        <v>396380744.69999999</v>
      </c>
      <c r="F18" s="1384">
        <f>'Проверочная  таблица'!WR22</f>
        <v>119478040.53</v>
      </c>
      <c r="G18" s="1384"/>
      <c r="H18" s="1365">
        <f t="shared" si="0"/>
        <v>1307632056.0600002</v>
      </c>
      <c r="I18" s="1385">
        <f t="shared" si="0"/>
        <v>81130205</v>
      </c>
      <c r="J18" s="1365">
        <f t="shared" si="0"/>
        <v>749931821.58000004</v>
      </c>
      <c r="K18" s="1385">
        <f t="shared" si="0"/>
        <v>393675444.69999999</v>
      </c>
      <c r="L18" s="1385">
        <f t="shared" si="0"/>
        <v>82894584.780000001</v>
      </c>
      <c r="M18" s="1365"/>
      <c r="N18" s="1386">
        <f t="shared" si="8"/>
        <v>283974740.07999998</v>
      </c>
      <c r="O18" s="1385">
        <f>'Проверочная  таблица'!P22+'Проверочная  таблица'!AD22+'Проверочная  таблица'!H22</f>
        <v>131356714.19</v>
      </c>
      <c r="P18" s="1365">
        <f>'Проверочная  таблица'!BL22+'Проверочная  таблица'!BV22+'Проверочная  таблица'!CJ22+'Проверочная  таблица'!NR22+'Проверочная  таблица'!OZ22+'Проверочная  таблица'!JX22+'Проверочная  таблица'!VD22+'Проверочная  таблица'!AV22+'Проверочная  таблица'!FH22+'Проверочная  таблица'!DJ22+'Проверочная  таблица'!QH22+'Проверочная  таблица'!TL22+'Проверочная  таблица'!MD22+'Проверочная  таблица'!KZ22+'Проверочная  таблица'!RL22+'Проверочная  таблица'!HX22+'Проверочная  таблица'!HD22+'Проверочная  таблица'!GL22+'Проверочная  таблица'!IV22</f>
        <v>113329270.13999999</v>
      </c>
      <c r="Q18" s="1386">
        <f>'Проверочная  таблица'!VV22</f>
        <v>2705300</v>
      </c>
      <c r="R18" s="1381">
        <f>'Проверочная  таблица'!YT22+'Проверочная  таблица'!XP22</f>
        <v>36583455.75</v>
      </c>
      <c r="S18" s="1387"/>
      <c r="T18" s="1388">
        <f t="shared" si="1"/>
        <v>104587108.44</v>
      </c>
      <c r="U18" s="1388">
        <f t="shared" si="2"/>
        <v>91333656.230000004</v>
      </c>
      <c r="V18" s="1389">
        <f t="shared" si="2"/>
        <v>1862495.7399999946</v>
      </c>
      <c r="W18" s="1390">
        <f t="shared" si="2"/>
        <v>2705300</v>
      </c>
      <c r="X18" s="1389">
        <f t="shared" si="2"/>
        <v>8685656.4700000025</v>
      </c>
      <c r="Y18" s="1391"/>
      <c r="Z18" s="1390">
        <f t="shared" si="3"/>
        <v>179387631.63999999</v>
      </c>
      <c r="AA18" s="1388">
        <f>'Проверочная  таблица'!AL22+'Проверочная  таблица'!T22+'Проверочная  таблица'!L22</f>
        <v>40023057.959999993</v>
      </c>
      <c r="AB18" s="1368">
        <f>'Проверочная  таблица'!BZ22+'Проверочная  таблица'!CN22+'Проверочная  таблица'!BR22+'Проверочная  таблица'!VH22+'Проверочная  таблица'!OD22+'Проверочная  таблица'!KJ22+'Проверочная  таблица'!PP22+'Проверочная  таблица'!BD22+'Проверочная  таблица'!FT22+'Проверочная  таблица'!DR22+'Проверочная  таблица'!QT22+'Проверочная  таблица'!UN22+'Проверочная  таблица'!MT22+'Проверочная  таблица'!LP22+'Проверочная  таблица'!RX22+'Проверочная  таблица'!IJ22+'Проверочная  таблица'!HJ22+'Проверочная  таблица'!GT22+'Проверочная  таблица'!JD22</f>
        <v>111466774.39999999</v>
      </c>
      <c r="AC18" s="1390"/>
      <c r="AD18" s="1392">
        <f>'Проверочная  таблица'!ZR22+'Проверочная  таблица'!XV22</f>
        <v>27897799.279999997</v>
      </c>
      <c r="AE18" s="1387"/>
      <c r="AF18" s="1384">
        <f>'Проверочная  таблица'!C22</f>
        <v>479153892.21999997</v>
      </c>
      <c r="AG18" s="1382">
        <f>'Проверочная  таблица'!E22</f>
        <v>116243448</v>
      </c>
      <c r="AH18" s="1383">
        <f>'Проверочная  таблица'!AO22</f>
        <v>96418585.890000001</v>
      </c>
      <c r="AI18" s="1381">
        <f>'Проверочная  таблица'!VM22</f>
        <v>228732690.16</v>
      </c>
      <c r="AJ18" s="1387">
        <f>'Проверочная  таблица'!WS22</f>
        <v>37759168.170000002</v>
      </c>
      <c r="AK18" s="1384"/>
      <c r="AL18" s="1365">
        <f t="shared" si="4"/>
        <v>406825745.13</v>
      </c>
      <c r="AM18" s="1385">
        <f t="shared" si="4"/>
        <v>51315104</v>
      </c>
      <c r="AN18" s="1365">
        <f t="shared" si="4"/>
        <v>94262000.739999995</v>
      </c>
      <c r="AO18" s="1385">
        <f t="shared" si="4"/>
        <v>227693276.35999998</v>
      </c>
      <c r="AP18" s="1385">
        <f t="shared" si="4"/>
        <v>33555364.030000001</v>
      </c>
      <c r="AQ18" s="1365"/>
      <c r="AR18" s="1386">
        <f t="shared" si="9"/>
        <v>72328147.090000004</v>
      </c>
      <c r="AS18" s="1386">
        <f>'Проверочная  таблица'!Q22+'Проверочная  таблица'!AG22+'Проверочная  таблица'!I22</f>
        <v>64928344</v>
      </c>
      <c r="AT18" s="1385">
        <f>'Проверочная  таблица'!VE22+'Проверочная  таблица'!CK22+'Проверочная  таблица'!BW22+'Проверочная  таблица'!BN22+'Проверочная  таблица'!NU22+'Проверочная  таблица'!KA22+'Проверочная  таблица'!PD22+'Проверочная  таблица'!AX22+'Проверочная  таблица'!FK22+'Проверочная  таблица'!DM22+'Проверочная  таблица'!QK22+'Проверочная  таблица'!TS22+'Проверочная  таблица'!MH22+'Проверочная  таблица'!LE22+'Проверочная  таблица'!RO22+'Проверочная  таблица'!IA22+'Проверочная  таблица'!HF22+'Проверочная  таблица'!GO22+'Проверочная  таблица'!IY22</f>
        <v>2156585.15</v>
      </c>
      <c r="AU18" s="1387">
        <f>'Проверочная  таблица'!VW22</f>
        <v>1039413.8</v>
      </c>
      <c r="AV18" s="1394">
        <f>'Проверочная  таблица'!YZ22+'Проверочная  таблица'!XR22</f>
        <v>4203804.1399999997</v>
      </c>
      <c r="AW18" s="1395"/>
      <c r="AX18" s="1389">
        <f t="shared" si="5"/>
        <v>46782808.119999997</v>
      </c>
      <c r="AY18" s="1390">
        <f t="shared" si="6"/>
        <v>45666814</v>
      </c>
      <c r="AZ18" s="1389">
        <f t="shared" si="6"/>
        <v>76580.319999999832</v>
      </c>
      <c r="BA18" s="1390">
        <f t="shared" si="6"/>
        <v>1039413.8</v>
      </c>
      <c r="BB18" s="1389">
        <f t="shared" si="6"/>
        <v>0</v>
      </c>
      <c r="BC18" s="1396"/>
      <c r="BD18" s="1397">
        <f t="shared" si="7"/>
        <v>25545338.969999999</v>
      </c>
      <c r="BE18" s="1389">
        <f>'Проверочная  таблица'!M22+'Проверочная  таблица'!U22+'Проверочная  таблица'!AM22</f>
        <v>19261530</v>
      </c>
      <c r="BF18" s="1370">
        <f>'Проверочная  таблица'!CA22+'Проверочная  таблица'!CO22+'Проверочная  таблица'!BS22+'Проверочная  таблица'!VI22+'Проверочная  таблица'!OG22+'Проверочная  таблица'!KM22+'Проверочная  таблица'!PT22+'Проверочная  таблица'!BF22+'Проверочная  таблица'!FW22+'Проверочная  таблица'!DS22+'Проверочная  таблица'!QW22+'Проверочная  таблица'!UU22+'Проверочная  таблица'!MX22+'Проверочная  таблица'!LS22+'Проверочная  таблица'!SA22+'Проверочная  таблица'!IM22+'Проверочная  таблица'!HK22+'Проверочная  таблица'!GU22+'Проверочная  таблица'!JE22</f>
        <v>2080004.83</v>
      </c>
      <c r="BG18" s="1398"/>
      <c r="BH18" s="1399">
        <f>'Проверочная  таблица'!ZX22+'Проверочная  таблица'!XW22</f>
        <v>4203804.1399999997</v>
      </c>
      <c r="BI18" s="1391"/>
      <c r="BK18" s="1380">
        <f t="shared" si="10"/>
        <v>1379119.8769499999</v>
      </c>
      <c r="BL18" s="1380">
        <f t="shared" si="11"/>
        <v>1226501.85106</v>
      </c>
      <c r="BM18" s="1380">
        <f t="shared" si="12"/>
        <v>13253.452209999998</v>
      </c>
      <c r="BN18" s="1380">
        <f t="shared" si="13"/>
        <v>139364.57367999997</v>
      </c>
    </row>
    <row r="19" spans="1:66" ht="24.75" customHeight="1" x14ac:dyDescent="0.25">
      <c r="A19" s="520" t="s">
        <v>326</v>
      </c>
      <c r="B19" s="1381">
        <f>'Проверочная  таблица'!B15</f>
        <v>836245061.32999992</v>
      </c>
      <c r="C19" s="1382">
        <f>'Проверочная  таблица'!D15</f>
        <v>185528920</v>
      </c>
      <c r="D19" s="1383">
        <f>'Проверочная  таблица'!AN15</f>
        <v>321574078.29999995</v>
      </c>
      <c r="E19" s="1381">
        <f>'Проверочная  таблица'!VJ15</f>
        <v>274228085.26999992</v>
      </c>
      <c r="F19" s="1384">
        <f>'Проверочная  таблица'!WR15</f>
        <v>54913977.760000005</v>
      </c>
      <c r="G19" s="1384"/>
      <c r="H19" s="1365">
        <f t="shared" si="0"/>
        <v>835780572.95999992</v>
      </c>
      <c r="I19" s="1385">
        <f t="shared" si="0"/>
        <v>185528920</v>
      </c>
      <c r="J19" s="1365">
        <f t="shared" si="0"/>
        <v>321109589.92999995</v>
      </c>
      <c r="K19" s="1385">
        <f t="shared" si="0"/>
        <v>274228085.26999992</v>
      </c>
      <c r="L19" s="1385">
        <f t="shared" si="0"/>
        <v>54913977.760000005</v>
      </c>
      <c r="M19" s="1365"/>
      <c r="N19" s="1386">
        <f t="shared" si="8"/>
        <v>464488.37</v>
      </c>
      <c r="O19" s="1385">
        <f>'Проверочная  таблица'!P15+'Проверочная  таблица'!AD15+'Проверочная  таблица'!H15</f>
        <v>0</v>
      </c>
      <c r="P19" s="1365">
        <f>'Проверочная  таблица'!BL15+'Проверочная  таблица'!BV15+'Проверочная  таблица'!CJ15+'Проверочная  таблица'!NR15+'Проверочная  таблица'!OZ15+'Проверочная  таблица'!JX15+'Проверочная  таблица'!VD15+'Проверочная  таблица'!AV15+'Проверочная  таблица'!FH15+'Проверочная  таблица'!DJ15+'Проверочная  таблица'!QH15+'Проверочная  таблица'!TL15+'Проверочная  таблица'!MD15+'Проверочная  таблица'!KZ15+'Проверочная  таблица'!RL15+'Проверочная  таблица'!HX15+'Проверочная  таблица'!HD15+'Проверочная  таблица'!GL15+'Проверочная  таблица'!IV15</f>
        <v>464488.37</v>
      </c>
      <c r="Q19" s="1386">
        <f>'Проверочная  таблица'!VV15</f>
        <v>0</v>
      </c>
      <c r="R19" s="1381">
        <f>'Проверочная  таблица'!YT15+'Проверочная  таблица'!XP15</f>
        <v>0</v>
      </c>
      <c r="S19" s="1400"/>
      <c r="T19" s="1388">
        <f t="shared" si="1"/>
        <v>-185481.93000000005</v>
      </c>
      <c r="U19" s="1388">
        <f t="shared" si="2"/>
        <v>0</v>
      </c>
      <c r="V19" s="1389">
        <f t="shared" si="2"/>
        <v>-185481.93000000005</v>
      </c>
      <c r="W19" s="1390">
        <f t="shared" si="2"/>
        <v>0</v>
      </c>
      <c r="X19" s="1389">
        <f t="shared" si="2"/>
        <v>0</v>
      </c>
      <c r="Y19" s="1391"/>
      <c r="Z19" s="1390">
        <f t="shared" si="3"/>
        <v>649970.30000000005</v>
      </c>
      <c r="AA19" s="1388">
        <f>'Проверочная  таблица'!AL15+'Проверочная  таблица'!T15+'Проверочная  таблица'!L15</f>
        <v>0</v>
      </c>
      <c r="AB19" s="1368">
        <f>'Проверочная  таблица'!BZ15+'Проверочная  таблица'!CN15+'Проверочная  таблица'!BR15+'Проверочная  таблица'!VH15+'Проверочная  таблица'!OD15+'Проверочная  таблица'!KJ15+'Проверочная  таблица'!PP15+'Проверочная  таблица'!BD15+'Проверочная  таблица'!FT15+'Проверочная  таблица'!DR15+'Проверочная  таблица'!QT15+'Проверочная  таблица'!UN15+'Проверочная  таблица'!MT15+'Проверочная  таблица'!LP15+'Проверочная  таблица'!RX15+'Проверочная  таблица'!IJ15+'Проверочная  таблица'!HJ15+'Проверочная  таблица'!GT15+'Проверочная  таблица'!JD15</f>
        <v>649970.30000000005</v>
      </c>
      <c r="AC19" s="1390"/>
      <c r="AD19" s="1392">
        <f>'Проверочная  таблица'!ZR15+'Проверочная  таблица'!XV15</f>
        <v>0</v>
      </c>
      <c r="AE19" s="1400"/>
      <c r="AF19" s="1384">
        <f>'Проверочная  таблица'!C15</f>
        <v>322343748.57999998</v>
      </c>
      <c r="AG19" s="1382">
        <f>'Проверочная  таблица'!E15</f>
        <v>92760000</v>
      </c>
      <c r="AH19" s="1383">
        <f>'Проверочная  таблица'!AO15</f>
        <v>69756983.449999988</v>
      </c>
      <c r="AI19" s="1381">
        <f>'Проверочная  таблица'!VM15</f>
        <v>147564936.13999999</v>
      </c>
      <c r="AJ19" s="1387">
        <f>'Проверочная  таблица'!WS15</f>
        <v>12261828.99</v>
      </c>
      <c r="AK19" s="1384"/>
      <c r="AL19" s="1365">
        <f t="shared" si="4"/>
        <v>322343748.57999998</v>
      </c>
      <c r="AM19" s="1385">
        <f t="shared" si="4"/>
        <v>92760000</v>
      </c>
      <c r="AN19" s="1365">
        <f t="shared" si="4"/>
        <v>69756983.449999988</v>
      </c>
      <c r="AO19" s="1385">
        <f t="shared" si="4"/>
        <v>147564936.13999999</v>
      </c>
      <c r="AP19" s="1385">
        <f t="shared" si="4"/>
        <v>12261828.99</v>
      </c>
      <c r="AQ19" s="1365"/>
      <c r="AR19" s="1386">
        <f t="shared" si="9"/>
        <v>0</v>
      </c>
      <c r="AS19" s="1386">
        <f>'Проверочная  таблица'!Q15+'Проверочная  таблица'!AG15+'Проверочная  таблица'!I15</f>
        <v>0</v>
      </c>
      <c r="AT19" s="1385">
        <f>'Проверочная  таблица'!VE15+'Проверочная  таблица'!CK15+'Проверочная  таблица'!BW15+'Проверочная  таблица'!BN15+'Проверочная  таблица'!NU15+'Проверочная  таблица'!KA15+'Проверочная  таблица'!PD15+'Проверочная  таблица'!AX15+'Проверочная  таблица'!FK15+'Проверочная  таблица'!DM15+'Проверочная  таблица'!QK15+'Проверочная  таблица'!TS15+'Проверочная  таблица'!MH15+'Проверочная  таблица'!LE15+'Проверочная  таблица'!RO15+'Проверочная  таблица'!IA15+'Проверочная  таблица'!HF15+'Проверочная  таблица'!GO15+'Проверочная  таблица'!IY15</f>
        <v>0</v>
      </c>
      <c r="AU19" s="1387">
        <f>'Проверочная  таблица'!VW15</f>
        <v>0</v>
      </c>
      <c r="AV19" s="1394">
        <f>'Проверочная  таблица'!YZ15+'Проверочная  таблица'!XR15</f>
        <v>0</v>
      </c>
      <c r="AW19" s="1401"/>
      <c r="AX19" s="1389">
        <f t="shared" si="5"/>
        <v>0</v>
      </c>
      <c r="AY19" s="1390">
        <f t="shared" si="6"/>
        <v>0</v>
      </c>
      <c r="AZ19" s="1389">
        <f t="shared" si="6"/>
        <v>0</v>
      </c>
      <c r="BA19" s="1390">
        <f t="shared" si="6"/>
        <v>0</v>
      </c>
      <c r="BB19" s="1389">
        <f t="shared" si="6"/>
        <v>0</v>
      </c>
      <c r="BC19" s="1396"/>
      <c r="BD19" s="1397">
        <f t="shared" si="7"/>
        <v>0</v>
      </c>
      <c r="BE19" s="1389">
        <f>'Проверочная  таблица'!M15+'Проверочная  таблица'!U15+'Проверочная  таблица'!AM15</f>
        <v>0</v>
      </c>
      <c r="BF19" s="1370">
        <f>'Проверочная  таблица'!CA15+'Проверочная  таблица'!CO15+'Проверочная  таблица'!BS15+'Проверочная  таблица'!VI15+'Проверочная  таблица'!OG15+'Проверочная  таблица'!KM15+'Проверочная  таблица'!PT15+'Проверочная  таблица'!BF15+'Проверочная  таблица'!FW15+'Проверочная  таблица'!DS15+'Проверочная  таблица'!QW15+'Проверочная  таблица'!UU15+'Проверочная  таблица'!MX15+'Проверочная  таблица'!LS15+'Проверочная  таблица'!SA15+'Проверочная  таблица'!IM15+'Проверочная  таблица'!HK15+'Проверочная  таблица'!GU15+'Проверочная  таблица'!JE15</f>
        <v>0</v>
      </c>
      <c r="BG19" s="1398"/>
      <c r="BH19" s="1399">
        <f>'Проверочная  таблица'!ZX15+'Проверочная  таблица'!XW15</f>
        <v>0</v>
      </c>
      <c r="BI19" s="1391"/>
      <c r="BK19" s="1380">
        <f t="shared" si="10"/>
        <v>650716.1413299999</v>
      </c>
      <c r="BL19" s="1380">
        <f t="shared" si="11"/>
        <v>650251.65295999974</v>
      </c>
      <c r="BM19" s="1380">
        <f t="shared" si="12"/>
        <v>-185.48193000000006</v>
      </c>
      <c r="BN19" s="1380">
        <f t="shared" si="13"/>
        <v>649.97030000000007</v>
      </c>
    </row>
    <row r="20" spans="1:66" ht="24.75" customHeight="1" x14ac:dyDescent="0.25">
      <c r="A20" s="518" t="s">
        <v>327</v>
      </c>
      <c r="B20" s="1381">
        <f>'Проверочная  таблица'!B23</f>
        <v>467764009.56999999</v>
      </c>
      <c r="C20" s="1382">
        <f>'Проверочная  таблица'!D23</f>
        <v>51920207.189999998</v>
      </c>
      <c r="D20" s="1383">
        <f>'Проверочная  таблица'!AN23</f>
        <v>114736884.3</v>
      </c>
      <c r="E20" s="1381">
        <f>'Проверочная  таблица'!VJ23</f>
        <v>247074850.64000002</v>
      </c>
      <c r="F20" s="1384">
        <f>'Проверочная  таблица'!WR23</f>
        <v>54032067.440000005</v>
      </c>
      <c r="G20" s="1384"/>
      <c r="H20" s="1365">
        <f t="shared" si="0"/>
        <v>366700498.32999998</v>
      </c>
      <c r="I20" s="1385">
        <f t="shared" si="0"/>
        <v>17781373</v>
      </c>
      <c r="J20" s="1365">
        <f t="shared" si="0"/>
        <v>91387813.329999998</v>
      </c>
      <c r="K20" s="1385">
        <f t="shared" si="0"/>
        <v>245937450.64000002</v>
      </c>
      <c r="L20" s="1385">
        <f t="shared" si="0"/>
        <v>11593861.359999999</v>
      </c>
      <c r="M20" s="1365"/>
      <c r="N20" s="1386">
        <f t="shared" si="8"/>
        <v>101063511.24000001</v>
      </c>
      <c r="O20" s="1385">
        <f>'Проверочная  таблица'!P23+'Проверочная  таблица'!AD23+'Проверочная  таблица'!H23</f>
        <v>34138834.189999998</v>
      </c>
      <c r="P20" s="1365">
        <f>'Проверочная  таблица'!BL23+'Проверочная  таблица'!BV23+'Проверочная  таблица'!CJ23+'Проверочная  таблица'!NR23+'Проверочная  таблица'!OZ23+'Проверочная  таблица'!JX23+'Проверочная  таблица'!VD23+'Проверочная  таблица'!AV23+'Проверочная  таблица'!FH23+'Проверочная  таблица'!DJ23+'Проверочная  таблица'!QH23+'Проверочная  таблица'!TL23+'Проверочная  таблица'!MD23+'Проверочная  таблица'!KZ23+'Проверочная  таблица'!RL23+'Проверочная  таблица'!HX23+'Проверочная  таблица'!HD23+'Проверочная  таблица'!GL23+'Проверочная  таблица'!IV23</f>
        <v>23349070.969999999</v>
      </c>
      <c r="Q20" s="1386">
        <f>'Проверочная  таблица'!VV23</f>
        <v>1137400</v>
      </c>
      <c r="R20" s="1381">
        <f>'Проверочная  таблица'!YT23+'Проверочная  таблица'!XP23</f>
        <v>42438206.080000006</v>
      </c>
      <c r="S20" s="1387"/>
      <c r="T20" s="1388">
        <f t="shared" si="1"/>
        <v>100743374.11000001</v>
      </c>
      <c r="U20" s="1388">
        <f t="shared" si="2"/>
        <v>34138834.189999998</v>
      </c>
      <c r="V20" s="1389">
        <f t="shared" si="2"/>
        <v>23028933.84</v>
      </c>
      <c r="W20" s="1390">
        <f t="shared" si="2"/>
        <v>1137400</v>
      </c>
      <c r="X20" s="1389">
        <f t="shared" si="2"/>
        <v>42438206.080000006</v>
      </c>
      <c r="Y20" s="1391"/>
      <c r="Z20" s="1390">
        <f t="shared" si="3"/>
        <v>320137.13</v>
      </c>
      <c r="AA20" s="1388">
        <f>'Проверочная  таблица'!AL23+'Проверочная  таблица'!T23+'Проверочная  таблица'!L23</f>
        <v>0</v>
      </c>
      <c r="AB20" s="1368">
        <f>'Проверочная  таблица'!BZ23+'Проверочная  таблица'!CN23+'Проверочная  таблица'!BR23+'Проверочная  таблица'!VH23+'Проверочная  таблица'!OD23+'Проверочная  таблица'!KJ23+'Проверочная  таблица'!PP23+'Проверочная  таблица'!BD23+'Проверочная  таблица'!FT23+'Проверочная  таблица'!DR23+'Проверочная  таблица'!QT23+'Проверочная  таблица'!UN23+'Проверочная  таблица'!MT23+'Проверочная  таблица'!LP23+'Проверочная  таблица'!RX23+'Проверочная  таблица'!IJ23+'Проверочная  таблица'!HJ23+'Проверочная  таблица'!GT23+'Проверочная  таблица'!JD23</f>
        <v>320137.13</v>
      </c>
      <c r="AC20" s="1390"/>
      <c r="AD20" s="1392">
        <f>'Проверочная  таблица'!ZR23+'Проверочная  таблица'!XV23</f>
        <v>0</v>
      </c>
      <c r="AE20" s="1387"/>
      <c r="AF20" s="1384">
        <f>'Проверочная  таблица'!C23</f>
        <v>181387808.92000002</v>
      </c>
      <c r="AG20" s="1382">
        <f>'Проверочная  таблица'!E23</f>
        <v>25338540</v>
      </c>
      <c r="AH20" s="1383">
        <f>'Проверочная  таблица'!AO23</f>
        <v>11045152.680000002</v>
      </c>
      <c r="AI20" s="1381">
        <f>'Проверочная  таблица'!VM23</f>
        <v>130533129.13000001</v>
      </c>
      <c r="AJ20" s="1387">
        <f>'Проверочная  таблица'!WS23</f>
        <v>14470987.109999999</v>
      </c>
      <c r="AK20" s="1384"/>
      <c r="AL20" s="1365">
        <f t="shared" si="4"/>
        <v>158142941.48000002</v>
      </c>
      <c r="AM20" s="1385">
        <f t="shared" si="4"/>
        <v>8890800</v>
      </c>
      <c r="AN20" s="1365">
        <f t="shared" si="4"/>
        <v>9431662.5700000022</v>
      </c>
      <c r="AO20" s="1385">
        <f t="shared" si="4"/>
        <v>130007371.80000001</v>
      </c>
      <c r="AP20" s="1385">
        <f t="shared" si="4"/>
        <v>9813107.1099999994</v>
      </c>
      <c r="AQ20" s="1365"/>
      <c r="AR20" s="1386">
        <f t="shared" si="9"/>
        <v>23244867.439999998</v>
      </c>
      <c r="AS20" s="1386">
        <f>'Проверочная  таблица'!Q23+'Проверочная  таблица'!AG23+'Проверочная  таблица'!I23</f>
        <v>16447740</v>
      </c>
      <c r="AT20" s="1385">
        <f>'Проверочная  таблица'!VE23+'Проверочная  таблица'!CK23+'Проверочная  таблица'!BW23+'Проверочная  таблица'!BN23+'Проверочная  таблица'!NU23+'Проверочная  таблица'!KA23+'Проверочная  таблица'!PD23+'Проверочная  таблица'!AX23+'Проверочная  таблица'!FK23+'Проверочная  таблица'!DM23+'Проверочная  таблица'!QK23+'Проверочная  таблица'!TS23+'Проверочная  таблица'!MH23+'Проверочная  таблица'!LE23+'Проверочная  таблица'!RO23+'Проверочная  таблица'!IA23+'Проверочная  таблица'!HF23+'Проверочная  таблица'!GO23+'Проверочная  таблица'!IY23</f>
        <v>1613490.1099999996</v>
      </c>
      <c r="AU20" s="1387">
        <f>'Проверочная  таблица'!VW23</f>
        <v>525757.33000000007</v>
      </c>
      <c r="AV20" s="1394">
        <f>'Проверочная  таблица'!YZ23+'Проверочная  таблица'!XR23</f>
        <v>4657880</v>
      </c>
      <c r="AW20" s="1395"/>
      <c r="AX20" s="1389">
        <f t="shared" si="5"/>
        <v>23244867.439999998</v>
      </c>
      <c r="AY20" s="1390">
        <f t="shared" si="6"/>
        <v>16447740</v>
      </c>
      <c r="AZ20" s="1389">
        <f t="shared" si="6"/>
        <v>1613490.1099999996</v>
      </c>
      <c r="BA20" s="1390">
        <f t="shared" si="6"/>
        <v>525757.33000000007</v>
      </c>
      <c r="BB20" s="1389">
        <f t="shared" si="6"/>
        <v>4657880</v>
      </c>
      <c r="BC20" s="1396"/>
      <c r="BD20" s="1397">
        <f t="shared" si="7"/>
        <v>0</v>
      </c>
      <c r="BE20" s="1389">
        <f>'Проверочная  таблица'!M23+'Проверочная  таблица'!U23+'Проверочная  таблица'!AM23</f>
        <v>0</v>
      </c>
      <c r="BF20" s="1370">
        <f>'Проверочная  таблица'!CA23+'Проверочная  таблица'!CO23+'Проверочная  таблица'!BS23+'Проверочная  таблица'!VI23+'Проверочная  таблица'!OG23+'Проверочная  таблица'!KM23+'Проверочная  таблица'!PT23+'Проверочная  таблица'!BF23+'Проверочная  таблица'!FW23+'Проверочная  таблица'!DS23+'Проверочная  таблица'!QW23+'Проверочная  таблица'!UU23+'Проверочная  таблица'!MX23+'Проверочная  таблица'!LS23+'Проверочная  таблица'!SA23+'Проверочная  таблица'!IM23+'Проверочная  таблица'!HK23+'Проверочная  таблица'!GU23+'Проверочная  таблица'!JE23</f>
        <v>0</v>
      </c>
      <c r="BG20" s="1398"/>
      <c r="BH20" s="1399">
        <f>'Проверочная  таблица'!ZX23+'Проверочная  таблица'!XW23</f>
        <v>0</v>
      </c>
      <c r="BI20" s="1391"/>
      <c r="BK20" s="1380">
        <f t="shared" si="10"/>
        <v>415843.80238000001</v>
      </c>
      <c r="BL20" s="1380">
        <f t="shared" si="11"/>
        <v>348919.12533000007</v>
      </c>
      <c r="BM20" s="1380">
        <f t="shared" si="12"/>
        <v>66604.539919999996</v>
      </c>
      <c r="BN20" s="1380">
        <f t="shared" si="13"/>
        <v>320.13713000000001</v>
      </c>
    </row>
    <row r="21" spans="1:66" ht="24.75" customHeight="1" x14ac:dyDescent="0.25">
      <c r="A21" s="519" t="s">
        <v>328</v>
      </c>
      <c r="B21" s="1381">
        <f>'Проверочная  таблица'!B24</f>
        <v>2925694941.3400002</v>
      </c>
      <c r="C21" s="1382">
        <f>'Проверочная  таблица'!D24</f>
        <v>750010643.01999998</v>
      </c>
      <c r="D21" s="1383">
        <f>'Проверочная  таблица'!AN24</f>
        <v>1480574765.78</v>
      </c>
      <c r="E21" s="1381">
        <f>'Проверочная  таблица'!VJ24</f>
        <v>569848178.99000001</v>
      </c>
      <c r="F21" s="1384">
        <f>'Проверочная  таблица'!WR24</f>
        <v>125261353.55</v>
      </c>
      <c r="G21" s="1384"/>
      <c r="H21" s="1365">
        <f t="shared" si="0"/>
        <v>2041148653.21</v>
      </c>
      <c r="I21" s="1385">
        <f t="shared" si="0"/>
        <v>211573840.99999988</v>
      </c>
      <c r="J21" s="1365">
        <f t="shared" si="0"/>
        <v>1222850042.0599999</v>
      </c>
      <c r="K21" s="1385">
        <f t="shared" si="0"/>
        <v>567034678.99000001</v>
      </c>
      <c r="L21" s="1385">
        <f t="shared" si="0"/>
        <v>39690091.159999996</v>
      </c>
      <c r="M21" s="1365"/>
      <c r="N21" s="1386">
        <f t="shared" si="8"/>
        <v>884546288.13000011</v>
      </c>
      <c r="O21" s="1385">
        <f>'Проверочная  таблица'!P24+'Проверочная  таблица'!AD24+'Проверочная  таблица'!H24</f>
        <v>538436802.0200001</v>
      </c>
      <c r="P21" s="1365">
        <f>'Проверочная  таблица'!BL24+'Проверочная  таблица'!BV24+'Проверочная  таблица'!CJ24+'Проверочная  таблица'!NR24+'Проверочная  таблица'!OZ24+'Проверочная  таблица'!JX24+'Проверочная  таблица'!VD24+'Проверочная  таблица'!AV24+'Проверочная  таблица'!FH24+'Проверочная  таблица'!DJ24+'Проверочная  таблица'!QH24+'Проверочная  таблица'!TL24+'Проверочная  таблица'!MD24+'Проверочная  таблица'!KZ24+'Проверочная  таблица'!RL24+'Проверочная  таблица'!HX24+'Проверочная  таблица'!HD24+'Проверочная  таблица'!GL24+'Проверочная  таблица'!IV24</f>
        <v>257724723.72000003</v>
      </c>
      <c r="Q21" s="1386">
        <f>'Проверочная  таблица'!VV24</f>
        <v>2813500</v>
      </c>
      <c r="R21" s="1381">
        <f>'Проверочная  таблица'!YT24+'Проверочная  таблица'!XP24</f>
        <v>85571262.390000001</v>
      </c>
      <c r="S21" s="1387"/>
      <c r="T21" s="1388">
        <f t="shared" si="1"/>
        <v>193428429.81000012</v>
      </c>
      <c r="U21" s="1388">
        <f t="shared" si="2"/>
        <v>78631900.0200001</v>
      </c>
      <c r="V21" s="1389">
        <f t="shared" si="2"/>
        <v>55481367.400000036</v>
      </c>
      <c r="W21" s="1390">
        <f t="shared" si="2"/>
        <v>2813500</v>
      </c>
      <c r="X21" s="1389">
        <f t="shared" si="2"/>
        <v>56501662.390000001</v>
      </c>
      <c r="Y21" s="1391"/>
      <c r="Z21" s="1390">
        <f t="shared" si="3"/>
        <v>691117858.31999993</v>
      </c>
      <c r="AA21" s="1388">
        <f>'Проверочная  таблица'!AL24+'Проверочная  таблица'!T24+'Проверочная  таблица'!L24</f>
        <v>459804902</v>
      </c>
      <c r="AB21" s="1368">
        <f>'Проверочная  таблица'!BZ24+'Проверочная  таблица'!CN24+'Проверочная  таблица'!BR24+'Проверочная  таблица'!VH24+'Проверочная  таблица'!OD24+'Проверочная  таблица'!KJ24+'Проверочная  таблица'!PP24+'Проверочная  таблица'!BD24+'Проверочная  таблица'!FT24+'Проверочная  таблица'!DR24+'Проверочная  таблица'!QT24+'Проверочная  таблица'!UN24+'Проверочная  таблица'!MT24+'Проверочная  таблица'!LP24+'Проверочная  таблица'!RX24+'Проверочная  таблица'!IJ24+'Проверочная  таблица'!HJ24+'Проверочная  таблица'!GT24+'Проверочная  таблица'!JD24</f>
        <v>202243356.31999999</v>
      </c>
      <c r="AC21" s="1390"/>
      <c r="AD21" s="1392">
        <f>'Проверочная  таблица'!ZR24+'Проверочная  таблица'!XV24</f>
        <v>29069600</v>
      </c>
      <c r="AE21" s="1387"/>
      <c r="AF21" s="1384">
        <f>'Проверочная  таблица'!C24</f>
        <v>1098740389.0599999</v>
      </c>
      <c r="AG21" s="1382">
        <f>'Проверочная  таблица'!E24</f>
        <v>286721900</v>
      </c>
      <c r="AH21" s="1383">
        <f>'Проверочная  таблица'!AO24</f>
        <v>467777174.34999996</v>
      </c>
      <c r="AI21" s="1381">
        <f>'Проверочная  таблица'!VM24</f>
        <v>298065632.83999997</v>
      </c>
      <c r="AJ21" s="1387">
        <f>'Проверочная  таблица'!WS24</f>
        <v>46175681.870000005</v>
      </c>
      <c r="AK21" s="1384"/>
      <c r="AL21" s="1365">
        <f t="shared" si="4"/>
        <v>774445115.97000003</v>
      </c>
      <c r="AM21" s="1385">
        <f t="shared" si="4"/>
        <v>80136800</v>
      </c>
      <c r="AN21" s="1365">
        <f t="shared" si="4"/>
        <v>378672660.78999996</v>
      </c>
      <c r="AO21" s="1385">
        <f t="shared" si="4"/>
        <v>297180473.31</v>
      </c>
      <c r="AP21" s="1385">
        <f t="shared" si="4"/>
        <v>18455181.870000005</v>
      </c>
      <c r="AQ21" s="1365"/>
      <c r="AR21" s="1386">
        <f t="shared" si="9"/>
        <v>324295273.08999997</v>
      </c>
      <c r="AS21" s="1386">
        <f>'Проверочная  таблица'!Q24+'Проверочная  таблица'!AG24+'Проверочная  таблица'!I24</f>
        <v>206585100</v>
      </c>
      <c r="AT21" s="1385">
        <f>'Проверочная  таблица'!VE24+'Проверочная  таблица'!CK24+'Проверочная  таблица'!BW24+'Проверочная  таблица'!BN24+'Проверочная  таблица'!NU24+'Проверочная  таблица'!KA24+'Проверочная  таблица'!PD24+'Проверочная  таблица'!AX24+'Проверочная  таблица'!FK24+'Проверочная  таблица'!DM24+'Проверочная  таблица'!QK24+'Проверочная  таблица'!TS24+'Проверочная  таблица'!MH24+'Проверочная  таблица'!LE24+'Проверочная  таблица'!RO24+'Проверочная  таблица'!IA24+'Проверочная  таблица'!HF24+'Проверочная  таблица'!GO24+'Проверочная  таблица'!IY24</f>
        <v>89104513.560000002</v>
      </c>
      <c r="AU21" s="1387">
        <f>'Проверочная  таблица'!VW24</f>
        <v>885159.52999999991</v>
      </c>
      <c r="AV21" s="1394">
        <f>'Проверочная  таблица'!YZ24+'Проверочная  таблица'!XR24</f>
        <v>27720500</v>
      </c>
      <c r="AW21" s="1395"/>
      <c r="AX21" s="1389">
        <f t="shared" si="5"/>
        <v>49412982.160000011</v>
      </c>
      <c r="AY21" s="1390">
        <f t="shared" si="6"/>
        <v>40137000</v>
      </c>
      <c r="AZ21" s="1389">
        <f t="shared" si="6"/>
        <v>8390822.6300000101</v>
      </c>
      <c r="BA21" s="1390">
        <f t="shared" si="6"/>
        <v>885159.52999999991</v>
      </c>
      <c r="BB21" s="1389">
        <f t="shared" si="6"/>
        <v>0</v>
      </c>
      <c r="BC21" s="1396"/>
      <c r="BD21" s="1397">
        <f t="shared" si="7"/>
        <v>274882290.93000001</v>
      </c>
      <c r="BE21" s="1389">
        <f>'Проверочная  таблица'!M24+'Проверочная  таблица'!U24+'Проверочная  таблица'!AM24</f>
        <v>166448100</v>
      </c>
      <c r="BF21" s="1370">
        <f>'Проверочная  таблица'!CA24+'Проверочная  таблица'!CO24+'Проверочная  таблица'!BS24+'Проверочная  таблица'!VI24+'Проверочная  таблица'!OG24+'Проверочная  таблица'!KM24+'Проверочная  таблица'!PT24+'Проверочная  таблица'!BF24+'Проверочная  таблица'!FW24+'Проверочная  таблица'!DS24+'Проверочная  таблица'!QW24+'Проверочная  таблица'!UU24+'Проверочная  таблица'!MX24+'Проверочная  таблица'!LS24+'Проверочная  таблица'!SA24+'Проверочная  таблица'!IM24+'Проверочная  таблица'!HK24+'Проверочная  таблица'!GU24+'Проверочная  таблица'!JE24</f>
        <v>80713690.929999992</v>
      </c>
      <c r="BG21" s="1398"/>
      <c r="BH21" s="1399">
        <f>'Проверочная  таблица'!ZX24+'Проверочная  таблица'!XW24</f>
        <v>27720500</v>
      </c>
      <c r="BI21" s="1391"/>
      <c r="BK21" s="1380">
        <f t="shared" si="10"/>
        <v>2175684.2983200001</v>
      </c>
      <c r="BL21" s="1380">
        <f t="shared" si="11"/>
        <v>1829574.8122100001</v>
      </c>
      <c r="BM21" s="1380">
        <f t="shared" si="12"/>
        <v>114796.52979000003</v>
      </c>
      <c r="BN21" s="1380">
        <f t="shared" si="13"/>
        <v>231312.95632</v>
      </c>
    </row>
    <row r="22" spans="1:66" ht="24.75" customHeight="1" x14ac:dyDescent="0.25">
      <c r="A22" s="518" t="s">
        <v>329</v>
      </c>
      <c r="B22" s="1381">
        <f>'Проверочная  таблица'!B25</f>
        <v>616573275.15999997</v>
      </c>
      <c r="C22" s="1382">
        <f>'Проверочная  таблица'!D25</f>
        <v>92267241.819999993</v>
      </c>
      <c r="D22" s="1383">
        <f>'Проверочная  таблица'!AN25</f>
        <v>151941850.72999999</v>
      </c>
      <c r="E22" s="1381">
        <f>'Проверочная  таблица'!VJ25</f>
        <v>330822181.08999997</v>
      </c>
      <c r="F22" s="1384">
        <f>'Проверочная  таблица'!WR25</f>
        <v>41542001.519999996</v>
      </c>
      <c r="G22" s="1384"/>
      <c r="H22" s="1365">
        <f t="shared" si="0"/>
        <v>556427649.97000003</v>
      </c>
      <c r="I22" s="1385">
        <f t="shared" si="0"/>
        <v>50105181.999999993</v>
      </c>
      <c r="J22" s="1365">
        <f t="shared" si="0"/>
        <v>141239461.72999999</v>
      </c>
      <c r="K22" s="1385">
        <f t="shared" si="0"/>
        <v>329227681.08999997</v>
      </c>
      <c r="L22" s="1385">
        <f t="shared" si="0"/>
        <v>35855325.149999999</v>
      </c>
      <c r="M22" s="1365"/>
      <c r="N22" s="1386">
        <f t="shared" si="8"/>
        <v>60145625.189999998</v>
      </c>
      <c r="O22" s="1385">
        <f>'Проверочная  таблица'!P25+'Проверочная  таблица'!AD25+'Проверочная  таблица'!H25</f>
        <v>42162059.82</v>
      </c>
      <c r="P22" s="1365">
        <f>'Проверочная  таблица'!BL25+'Проверочная  таблица'!BV25+'Проверочная  таблица'!CJ25+'Проверочная  таблица'!NR25+'Проверочная  таблица'!OZ25+'Проверочная  таблица'!JX25+'Проверочная  таблица'!VD25+'Проверочная  таблица'!AV25+'Проверочная  таблица'!FH25+'Проверочная  таблица'!DJ25+'Проверочная  таблица'!QH25+'Проверочная  таблица'!TL25+'Проверочная  таблица'!MD25+'Проверочная  таблица'!KZ25+'Проверочная  таблица'!RL25+'Проверочная  таблица'!HX25+'Проверочная  таблица'!HD25+'Проверочная  таблица'!GL25+'Проверочная  таблица'!IV25</f>
        <v>10702389</v>
      </c>
      <c r="Q22" s="1386">
        <f>'Проверочная  таблица'!VV25</f>
        <v>1594500</v>
      </c>
      <c r="R22" s="1381">
        <f>'Проверочная  таблица'!YT25+'Проверочная  таблица'!XP25</f>
        <v>5686676.3700000001</v>
      </c>
      <c r="S22" s="1387"/>
      <c r="T22" s="1388">
        <f t="shared" si="1"/>
        <v>59564520.32</v>
      </c>
      <c r="U22" s="1388">
        <f t="shared" si="2"/>
        <v>42162059.82</v>
      </c>
      <c r="V22" s="1389">
        <f t="shared" si="2"/>
        <v>10121284.130000001</v>
      </c>
      <c r="W22" s="1390">
        <f t="shared" si="2"/>
        <v>1594500</v>
      </c>
      <c r="X22" s="1389">
        <f t="shared" si="2"/>
        <v>5686676.3700000001</v>
      </c>
      <c r="Y22" s="1391"/>
      <c r="Z22" s="1390">
        <f t="shared" si="3"/>
        <v>581104.87</v>
      </c>
      <c r="AA22" s="1388">
        <f>'Проверочная  таблица'!AL25+'Проверочная  таблица'!T25+'Проверочная  таблица'!L25</f>
        <v>0</v>
      </c>
      <c r="AB22" s="1368">
        <f>'Проверочная  таблица'!BZ25+'Проверочная  таблица'!CN25+'Проверочная  таблица'!BR25+'Проверочная  таблица'!VH25+'Проверочная  таблица'!OD25+'Проверочная  таблица'!KJ25+'Проверочная  таблица'!PP25+'Проверочная  таблица'!BD25+'Проверочная  таблица'!FT25+'Проверочная  таблица'!DR25+'Проверочная  таблица'!QT25+'Проверочная  таблица'!UN25+'Проверочная  таблица'!MT25+'Проверочная  таблица'!LP25+'Проверочная  таблица'!RX25+'Проверочная  таблица'!IJ25+'Проверочная  таблица'!HJ25+'Проверочная  таблица'!GT25+'Проверочная  таблица'!JD25</f>
        <v>581104.87</v>
      </c>
      <c r="AC22" s="1390"/>
      <c r="AD22" s="1392">
        <f>'Проверочная  таблица'!ZR25+'Проверочная  таблица'!XV25</f>
        <v>0</v>
      </c>
      <c r="AE22" s="1387"/>
      <c r="AF22" s="1384">
        <f>'Проверочная  таблица'!C25</f>
        <v>270742172.23000002</v>
      </c>
      <c r="AG22" s="1382">
        <f>'Проверочная  таблица'!E25</f>
        <v>47117938</v>
      </c>
      <c r="AH22" s="1383">
        <f>'Проверочная  таблица'!AO25</f>
        <v>25060102.799999997</v>
      </c>
      <c r="AI22" s="1381">
        <f>'Проверочная  таблица'!VM25</f>
        <v>182673816.15000001</v>
      </c>
      <c r="AJ22" s="1387">
        <f>'Проверочная  таблица'!WS25</f>
        <v>15890315.280000001</v>
      </c>
      <c r="AK22" s="1384"/>
      <c r="AL22" s="1365">
        <f t="shared" si="4"/>
        <v>244854857.54000002</v>
      </c>
      <c r="AM22" s="1385">
        <f t="shared" si="4"/>
        <v>25052590</v>
      </c>
      <c r="AN22" s="1365">
        <f t="shared" si="4"/>
        <v>21842244.959999997</v>
      </c>
      <c r="AO22" s="1385">
        <f t="shared" si="4"/>
        <v>182069707.30000001</v>
      </c>
      <c r="AP22" s="1385">
        <f t="shared" si="4"/>
        <v>15890315.280000001</v>
      </c>
      <c r="AQ22" s="1365"/>
      <c r="AR22" s="1386">
        <f t="shared" si="9"/>
        <v>25887314.690000001</v>
      </c>
      <c r="AS22" s="1386">
        <f>'Проверочная  таблица'!Q25+'Проверочная  таблица'!AG25+'Проверочная  таблица'!I25</f>
        <v>22065348</v>
      </c>
      <c r="AT22" s="1385">
        <f>'Проверочная  таблица'!VE25+'Проверочная  таблица'!CK25+'Проверочная  таблица'!BW25+'Проверочная  таблица'!BN25+'Проверочная  таблица'!NU25+'Проверочная  таблица'!KA25+'Проверочная  таблица'!PD25+'Проверочная  таблица'!AX25+'Проверочная  таблица'!FK25+'Проверочная  таблица'!DM25+'Проверочная  таблица'!QK25+'Проверочная  таблица'!TS25+'Проверочная  таблица'!MH25+'Проверочная  таблица'!LE25+'Проверочная  таблица'!RO25+'Проверочная  таблица'!IA25+'Проверочная  таблица'!HF25+'Проверочная  таблица'!GO25+'Проверочная  таблица'!IY25</f>
        <v>3217857.84</v>
      </c>
      <c r="AU22" s="1387">
        <f>'Проверочная  таблица'!VW25</f>
        <v>604108.85</v>
      </c>
      <c r="AV22" s="1394">
        <f>'Проверочная  таблица'!YZ25+'Проверочная  таблица'!XR25</f>
        <v>0</v>
      </c>
      <c r="AW22" s="1395"/>
      <c r="AX22" s="1389">
        <f t="shared" si="5"/>
        <v>25887314.690000001</v>
      </c>
      <c r="AY22" s="1390">
        <f t="shared" si="6"/>
        <v>22065348</v>
      </c>
      <c r="AZ22" s="1389">
        <f t="shared" si="6"/>
        <v>3217857.84</v>
      </c>
      <c r="BA22" s="1390">
        <f t="shared" si="6"/>
        <v>604108.85</v>
      </c>
      <c r="BB22" s="1389">
        <f t="shared" si="6"/>
        <v>0</v>
      </c>
      <c r="BC22" s="1396"/>
      <c r="BD22" s="1397">
        <f t="shared" si="7"/>
        <v>0</v>
      </c>
      <c r="BE22" s="1389">
        <f>'Проверочная  таблица'!M25+'Проверочная  таблица'!U25+'Проверочная  таблица'!AM25</f>
        <v>0</v>
      </c>
      <c r="BF22" s="1370">
        <f>'Проверочная  таблица'!CA25+'Проверочная  таблица'!CO25+'Проверочная  таблица'!BS25+'Проверочная  таблица'!VI25+'Проверочная  таблица'!OG25+'Проверочная  таблица'!KM25+'Проверочная  таблица'!PT25+'Проверочная  таблица'!BF25+'Проверочная  таблица'!FW25+'Проверочная  таблица'!DS25+'Проверочная  таблица'!QW25+'Проверочная  таблица'!UU25+'Проверочная  таблица'!MX25+'Проверочная  таблица'!LS25+'Проверочная  таблица'!SA25+'Проверочная  таблица'!IM25+'Проверочная  таблица'!HK25+'Проверочная  таблица'!GU25+'Проверочная  таблица'!JE25</f>
        <v>0</v>
      </c>
      <c r="BG22" s="1398"/>
      <c r="BH22" s="1399">
        <f>'Проверочная  таблица'!ZX25+'Проверочная  таблица'!XW25</f>
        <v>0</v>
      </c>
      <c r="BI22" s="1391"/>
      <c r="BK22" s="1380">
        <f t="shared" si="10"/>
        <v>524306.03333999997</v>
      </c>
      <c r="BL22" s="1380">
        <f t="shared" si="11"/>
        <v>506322.46796999988</v>
      </c>
      <c r="BM22" s="1380">
        <f t="shared" si="12"/>
        <v>17402.460500000001</v>
      </c>
      <c r="BN22" s="1380">
        <f t="shared" si="13"/>
        <v>581.10487000000001</v>
      </c>
    </row>
    <row r="23" spans="1:66" ht="24.75" customHeight="1" x14ac:dyDescent="0.25">
      <c r="A23" s="519" t="s">
        <v>330</v>
      </c>
      <c r="B23" s="1381">
        <f>'Проверочная  таблица'!B26</f>
        <v>2043961956.6500001</v>
      </c>
      <c r="C23" s="1382">
        <f>'Проверочная  таблица'!D26</f>
        <v>120674905.73</v>
      </c>
      <c r="D23" s="1383">
        <f>'Проверочная  таблица'!AN26</f>
        <v>941683170.08000004</v>
      </c>
      <c r="E23" s="1381">
        <f>'Проверочная  таблица'!VJ26</f>
        <v>899349610.21000004</v>
      </c>
      <c r="F23" s="1384">
        <f>'Проверочная  таблица'!WR26</f>
        <v>82254270.629999995</v>
      </c>
      <c r="G23" s="1384"/>
      <c r="H23" s="1365">
        <f t="shared" si="0"/>
        <v>1904754240.48</v>
      </c>
      <c r="I23" s="1385">
        <f t="shared" si="0"/>
        <v>65594007</v>
      </c>
      <c r="J23" s="1365">
        <f t="shared" si="0"/>
        <v>901227785.8900001</v>
      </c>
      <c r="K23" s="1385">
        <f t="shared" si="0"/>
        <v>894442610.21000004</v>
      </c>
      <c r="L23" s="1385">
        <f t="shared" si="0"/>
        <v>43489837.379999995</v>
      </c>
      <c r="M23" s="1365"/>
      <c r="N23" s="1386">
        <f t="shared" si="8"/>
        <v>139207716.17000002</v>
      </c>
      <c r="O23" s="1385">
        <f>'Проверочная  таблица'!P26+'Проверочная  таблица'!AD26+'Проверочная  таблица'!H26</f>
        <v>55080898.730000004</v>
      </c>
      <c r="P23" s="1365">
        <f>'Проверочная  таблица'!BL26+'Проверочная  таблица'!BV26+'Проверочная  таблица'!CJ26+'Проверочная  таблица'!NR26+'Проверочная  таблица'!OZ26+'Проверочная  таблица'!JX26+'Проверочная  таблица'!VD26+'Проверочная  таблица'!AV26+'Проверочная  таблица'!FH26+'Проверочная  таблица'!DJ26+'Проверочная  таблица'!QH26+'Проверочная  таблица'!TL26+'Проверочная  таблица'!MD26+'Проверочная  таблица'!KZ26+'Проверочная  таблица'!RL26+'Проверочная  таблица'!HX26+'Проверочная  таблица'!HD26+'Проверочная  таблица'!GL26+'Проверочная  таблица'!IV26</f>
        <v>40455384.189999998</v>
      </c>
      <c r="Q23" s="1386">
        <f>'Проверочная  таблица'!VV26</f>
        <v>4907000</v>
      </c>
      <c r="R23" s="1381">
        <f>'Проверочная  таблица'!YT26+'Проверочная  таблица'!XP26</f>
        <v>38764433.25</v>
      </c>
      <c r="S23" s="1387"/>
      <c r="T23" s="1388">
        <f t="shared" si="1"/>
        <v>135532995.53</v>
      </c>
      <c r="U23" s="1388">
        <f t="shared" si="2"/>
        <v>55080898.730000004</v>
      </c>
      <c r="V23" s="1389">
        <f t="shared" si="2"/>
        <v>36780663.549999997</v>
      </c>
      <c r="W23" s="1390">
        <f t="shared" si="2"/>
        <v>4907000</v>
      </c>
      <c r="X23" s="1389">
        <f t="shared" si="2"/>
        <v>38764433.25</v>
      </c>
      <c r="Y23" s="1391"/>
      <c r="Z23" s="1390">
        <f t="shared" si="3"/>
        <v>3674720.64</v>
      </c>
      <c r="AA23" s="1388">
        <f>'Проверочная  таблица'!AL26+'Проверочная  таблица'!T26+'Проверочная  таблица'!L26</f>
        <v>0</v>
      </c>
      <c r="AB23" s="1368">
        <f>'Проверочная  таблица'!BZ26+'Проверочная  таблица'!CN26+'Проверочная  таблица'!BR26+'Проверочная  таблица'!VH26+'Проверочная  таблица'!OD26+'Проверочная  таблица'!KJ26+'Проверочная  таблица'!PP26+'Проверочная  таблица'!BD26+'Проверочная  таблица'!FT26+'Проверочная  таблица'!DR26+'Проверочная  таблица'!QT26+'Проверочная  таблица'!UN26+'Проверочная  таблица'!MT26+'Проверочная  таблица'!LP26+'Проверочная  таблица'!RX26+'Проверочная  таблица'!IJ26+'Проверочная  таблица'!HJ26+'Проверочная  таблица'!GT26+'Проверочная  таблица'!JD26</f>
        <v>3674720.64</v>
      </c>
      <c r="AC23" s="1390"/>
      <c r="AD23" s="1392">
        <f>'Проверочная  таблица'!ZR26+'Проверочная  таблица'!XV26</f>
        <v>0</v>
      </c>
      <c r="AE23" s="1387"/>
      <c r="AF23" s="1384">
        <f>'Проверочная  таблица'!C26</f>
        <v>889728016.18999994</v>
      </c>
      <c r="AG23" s="1382">
        <f>'Проверочная  таблица'!E26</f>
        <v>61228656</v>
      </c>
      <c r="AH23" s="1383">
        <f>'Проверочная  таблица'!AO26</f>
        <v>156438737.15000001</v>
      </c>
      <c r="AI23" s="1381">
        <f>'Проверочная  таблица'!VM26</f>
        <v>645197356.27999997</v>
      </c>
      <c r="AJ23" s="1387">
        <f>'Проверочная  таблица'!WS26</f>
        <v>26863266.760000002</v>
      </c>
      <c r="AK23" s="1384"/>
      <c r="AL23" s="1365">
        <f t="shared" si="4"/>
        <v>844375960.63999999</v>
      </c>
      <c r="AM23" s="1385">
        <f t="shared" si="4"/>
        <v>33359000</v>
      </c>
      <c r="AN23" s="1365">
        <f t="shared" si="4"/>
        <v>140729679.67000002</v>
      </c>
      <c r="AO23" s="1385">
        <f t="shared" si="4"/>
        <v>643424014.20999992</v>
      </c>
      <c r="AP23" s="1385">
        <f t="shared" si="4"/>
        <v>26863266.760000002</v>
      </c>
      <c r="AQ23" s="1365"/>
      <c r="AR23" s="1386">
        <f t="shared" si="9"/>
        <v>45352055.550000004</v>
      </c>
      <c r="AS23" s="1386">
        <f>'Проверочная  таблица'!Q26+'Проверочная  таблица'!AG26+'Проверочная  таблица'!I26</f>
        <v>27869656</v>
      </c>
      <c r="AT23" s="1385">
        <f>'Проверочная  таблица'!VE26+'Проверочная  таблица'!CK26+'Проверочная  таблица'!BW26+'Проверочная  таблица'!BN26+'Проверочная  таблица'!NU26+'Проверочная  таблица'!KA26+'Проверочная  таблица'!PD26+'Проверочная  таблица'!AX26+'Проверочная  таблица'!FK26+'Проверочная  таблица'!DM26+'Проверочная  таблица'!QK26+'Проверочная  таблица'!TS26+'Проверочная  таблица'!MH26+'Проверочная  таблица'!LE26+'Проверочная  таблица'!RO26+'Проверочная  таблица'!IA26+'Проверочная  таблица'!HF26+'Проверочная  таблица'!GO26+'Проверочная  таблица'!IY26</f>
        <v>15709057.48</v>
      </c>
      <c r="AU23" s="1387">
        <f>'Проверочная  таблица'!VW26</f>
        <v>1773342.0699999998</v>
      </c>
      <c r="AV23" s="1394">
        <f>'Проверочная  таблица'!YZ26+'Проверочная  таблица'!XR26</f>
        <v>0</v>
      </c>
      <c r="AW23" s="1395"/>
      <c r="AX23" s="1389">
        <f t="shared" si="5"/>
        <v>45352055.550000004</v>
      </c>
      <c r="AY23" s="1390">
        <f t="shared" si="6"/>
        <v>27869656</v>
      </c>
      <c r="AZ23" s="1389">
        <f t="shared" si="6"/>
        <v>15709057.48</v>
      </c>
      <c r="BA23" s="1390">
        <f t="shared" si="6"/>
        <v>1773342.0699999998</v>
      </c>
      <c r="BB23" s="1389">
        <f t="shared" si="6"/>
        <v>0</v>
      </c>
      <c r="BC23" s="1396"/>
      <c r="BD23" s="1397">
        <f t="shared" si="7"/>
        <v>0</v>
      </c>
      <c r="BE23" s="1389">
        <f>'Проверочная  таблица'!M26+'Проверочная  таблица'!U26+'Проверочная  таблица'!AM26</f>
        <v>0</v>
      </c>
      <c r="BF23" s="1370">
        <f>'Проверочная  таблица'!CA26+'Проверочная  таблица'!CO26+'Проверочная  таблица'!BS26+'Проверочная  таблица'!VI26+'Проверочная  таблица'!OG26+'Проверочная  таблица'!KM26+'Проверочная  таблица'!PT26+'Проверочная  таблица'!BF26+'Проверочная  таблица'!FW26+'Проверочная  таблица'!DS26+'Проверочная  таблица'!QW26+'Проверочная  таблица'!UU26+'Проверочная  таблица'!MX26+'Проверочная  таблица'!LS26+'Проверочная  таблица'!SA26+'Проверочная  таблица'!IM26+'Проверочная  таблица'!HK26+'Проверочная  таблица'!GU26+'Проверочная  таблица'!JE26</f>
        <v>0</v>
      </c>
      <c r="BG23" s="1398"/>
      <c r="BH23" s="1399">
        <f>'Проверочная  таблица'!ZX26+'Проверочная  таблица'!XW26</f>
        <v>0</v>
      </c>
      <c r="BI23" s="1391"/>
      <c r="BK23" s="1380">
        <f t="shared" si="10"/>
        <v>1923287.0509200001</v>
      </c>
      <c r="BL23" s="1380">
        <f t="shared" si="11"/>
        <v>1839160.2334799999</v>
      </c>
      <c r="BM23" s="1380">
        <f t="shared" si="12"/>
        <v>80452.096799999999</v>
      </c>
      <c r="BN23" s="1380">
        <f t="shared" si="13"/>
        <v>3674.72064</v>
      </c>
    </row>
    <row r="24" spans="1:66" ht="24.75" customHeight="1" x14ac:dyDescent="0.25">
      <c r="A24" s="521" t="s">
        <v>331</v>
      </c>
      <c r="B24" s="1381">
        <f>'Проверочная  таблица'!B16</f>
        <v>581863985.32999992</v>
      </c>
      <c r="C24" s="1382">
        <f>'Проверочная  таблица'!D16</f>
        <v>84197006</v>
      </c>
      <c r="D24" s="1383">
        <f>'Проверочная  таблица'!AN16</f>
        <v>148482598.13000003</v>
      </c>
      <c r="E24" s="1381">
        <f>'Проверочная  таблица'!VJ16</f>
        <v>284004077.30999994</v>
      </c>
      <c r="F24" s="1384">
        <f>'Проверочная  таблица'!WR16</f>
        <v>65180303.890000001</v>
      </c>
      <c r="G24" s="1384"/>
      <c r="H24" s="1365">
        <f t="shared" si="0"/>
        <v>579843076.5999999</v>
      </c>
      <c r="I24" s="1385">
        <f t="shared" si="0"/>
        <v>84197006</v>
      </c>
      <c r="J24" s="1365">
        <f t="shared" si="0"/>
        <v>146461689.40000004</v>
      </c>
      <c r="K24" s="1385">
        <f t="shared" si="0"/>
        <v>284004077.30999994</v>
      </c>
      <c r="L24" s="1385">
        <f t="shared" si="0"/>
        <v>65180303.890000001</v>
      </c>
      <c r="M24" s="1365"/>
      <c r="N24" s="1386">
        <f t="shared" si="8"/>
        <v>2020908.73</v>
      </c>
      <c r="O24" s="1385">
        <f>'Проверочная  таблица'!P16+'Проверочная  таблица'!AD16+'Проверочная  таблица'!H16</f>
        <v>0</v>
      </c>
      <c r="P24" s="1365">
        <f>'Проверочная  таблица'!BL16+'Проверочная  таблица'!BV16+'Проверочная  таблица'!CJ16+'Проверочная  таблица'!NR16+'Проверочная  таблица'!OZ16+'Проверочная  таблица'!JX16+'Проверочная  таблица'!VD16+'Проверочная  таблица'!AV16+'Проверочная  таблица'!FH16+'Проверочная  таблица'!DJ16+'Проверочная  таблица'!QH16+'Проверочная  таблица'!TL16+'Проверочная  таблица'!MD16+'Проверочная  таблица'!KZ16+'Проверочная  таблица'!RL16+'Проверочная  таблица'!HX16+'Проверочная  таблица'!HD16+'Проверочная  таблица'!GL16+'Проверочная  таблица'!IV16</f>
        <v>2020908.73</v>
      </c>
      <c r="Q24" s="1386">
        <f>'Проверочная  таблица'!VV16</f>
        <v>0</v>
      </c>
      <c r="R24" s="1381">
        <f>'Проверочная  таблица'!YT16+'Проверочная  таблица'!XP16</f>
        <v>0</v>
      </c>
      <c r="S24" s="1400"/>
      <c r="T24" s="1388">
        <f t="shared" si="1"/>
        <v>1340377.77</v>
      </c>
      <c r="U24" s="1388">
        <f t="shared" si="2"/>
        <v>0</v>
      </c>
      <c r="V24" s="1389">
        <f t="shared" si="2"/>
        <v>1340377.77</v>
      </c>
      <c r="W24" s="1390">
        <f t="shared" si="2"/>
        <v>0</v>
      </c>
      <c r="X24" s="1389">
        <f t="shared" si="2"/>
        <v>0</v>
      </c>
      <c r="Y24" s="1391"/>
      <c r="Z24" s="1390">
        <f t="shared" si="3"/>
        <v>680530.96</v>
      </c>
      <c r="AA24" s="1388">
        <f>'Проверочная  таблица'!AL16+'Проверочная  таблица'!T16+'Проверочная  таблица'!L16</f>
        <v>0</v>
      </c>
      <c r="AB24" s="1368">
        <f>'Проверочная  таблица'!BZ16+'Проверочная  таблица'!CN16+'Проверочная  таблица'!BR16+'Проверочная  таблица'!VH16+'Проверочная  таблица'!OD16+'Проверочная  таблица'!KJ16+'Проверочная  таблица'!PP16+'Проверочная  таблица'!BD16+'Проверочная  таблица'!FT16+'Проверочная  таблица'!DR16+'Проверочная  таблица'!QT16+'Проверочная  таблица'!UN16+'Проверочная  таблица'!MT16+'Проверочная  таблица'!LP16+'Проверочная  таблица'!RX16+'Проверочная  таблица'!IJ16+'Проверочная  таблица'!HJ16+'Проверочная  таблица'!GT16+'Проверочная  таблица'!JD16</f>
        <v>680530.96</v>
      </c>
      <c r="AC24" s="1390"/>
      <c r="AD24" s="1392">
        <f>'Проверочная  таблица'!ZR16+'Проверочная  таблица'!XV16</f>
        <v>0</v>
      </c>
      <c r="AE24" s="1400"/>
      <c r="AF24" s="1384">
        <f>'Проверочная  таблица'!C16</f>
        <v>220571961.53000003</v>
      </c>
      <c r="AG24" s="1382">
        <f>'Проверочная  таблица'!E16</f>
        <v>42852000</v>
      </c>
      <c r="AH24" s="1383">
        <f>'Проверочная  таблица'!AO16</f>
        <v>18765175.490000002</v>
      </c>
      <c r="AI24" s="1381">
        <f>'Проверочная  таблица'!VM16</f>
        <v>148350012.60000002</v>
      </c>
      <c r="AJ24" s="1387">
        <f>'Проверочная  таблица'!WS16</f>
        <v>10604773.439999999</v>
      </c>
      <c r="AK24" s="1384"/>
      <c r="AL24" s="1365">
        <f t="shared" si="4"/>
        <v>220571961.53000003</v>
      </c>
      <c r="AM24" s="1385">
        <f t="shared" si="4"/>
        <v>42852000</v>
      </c>
      <c r="AN24" s="1365">
        <f t="shared" si="4"/>
        <v>18765175.490000002</v>
      </c>
      <c r="AO24" s="1385">
        <f t="shared" si="4"/>
        <v>148350012.60000002</v>
      </c>
      <c r="AP24" s="1385">
        <f t="shared" si="4"/>
        <v>10604773.439999999</v>
      </c>
      <c r="AQ24" s="1365"/>
      <c r="AR24" s="1386">
        <f t="shared" si="9"/>
        <v>0</v>
      </c>
      <c r="AS24" s="1386">
        <f>'Проверочная  таблица'!Q16+'Проверочная  таблица'!AG16+'Проверочная  таблица'!I16</f>
        <v>0</v>
      </c>
      <c r="AT24" s="1385">
        <f>'Проверочная  таблица'!VE16+'Проверочная  таблица'!CK16+'Проверочная  таблица'!BW16+'Проверочная  таблица'!BN16+'Проверочная  таблица'!NU16+'Проверочная  таблица'!KA16+'Проверочная  таблица'!PD16+'Проверочная  таблица'!AX16+'Проверочная  таблица'!FK16+'Проверочная  таблица'!DM16+'Проверочная  таблица'!QK16+'Проверочная  таблица'!TS16+'Проверочная  таблица'!MH16+'Проверочная  таблица'!LE16+'Проверочная  таблица'!RO16+'Проверочная  таблица'!IA16+'Проверочная  таблица'!HF16+'Проверочная  таблица'!GO16+'Проверочная  таблица'!IY16</f>
        <v>0</v>
      </c>
      <c r="AU24" s="1387">
        <f>'Проверочная  таблица'!VW16</f>
        <v>0</v>
      </c>
      <c r="AV24" s="1394">
        <f>'Проверочная  таблица'!YZ16+'Проверочная  таблица'!XR16</f>
        <v>0</v>
      </c>
      <c r="AW24" s="1401"/>
      <c r="AX24" s="1389">
        <f t="shared" si="5"/>
        <v>0</v>
      </c>
      <c r="AY24" s="1390">
        <f t="shared" si="6"/>
        <v>0</v>
      </c>
      <c r="AZ24" s="1389">
        <f t="shared" si="6"/>
        <v>0</v>
      </c>
      <c r="BA24" s="1390">
        <f t="shared" si="6"/>
        <v>0</v>
      </c>
      <c r="BB24" s="1389">
        <f t="shared" si="6"/>
        <v>0</v>
      </c>
      <c r="BC24" s="1396"/>
      <c r="BD24" s="1397">
        <f t="shared" si="7"/>
        <v>0</v>
      </c>
      <c r="BE24" s="1389">
        <f>'Проверочная  таблица'!M16+'Проверочная  таблица'!U16+'Проверочная  таблица'!AM16</f>
        <v>0</v>
      </c>
      <c r="BF24" s="1370">
        <f>'Проверочная  таблица'!CA16+'Проверочная  таблица'!CO16+'Проверочная  таблица'!BS16+'Проверочная  таблица'!VI16+'Проверочная  таблица'!OG16+'Проверочная  таблица'!KM16+'Проверочная  таблица'!PT16+'Проверочная  таблица'!BF16+'Проверочная  таблица'!FW16+'Проверочная  таблица'!DS16+'Проверочная  таблица'!QW16+'Проверочная  таблица'!UU16+'Проверочная  таблица'!MX16+'Проверочная  таблица'!LS16+'Проверочная  таблица'!SA16+'Проверочная  таблица'!IM16+'Проверочная  таблица'!HK16+'Проверочная  таблица'!GU16+'Проверочная  таблица'!JE16</f>
        <v>0</v>
      </c>
      <c r="BG24" s="1398"/>
      <c r="BH24" s="1399">
        <f>'Проверочная  таблица'!ZX16+'Проверочная  таблица'!XW16</f>
        <v>0</v>
      </c>
      <c r="BI24" s="1391"/>
      <c r="BK24" s="1380">
        <f t="shared" si="10"/>
        <v>497666.97932999994</v>
      </c>
      <c r="BL24" s="1380">
        <f t="shared" si="11"/>
        <v>495646.07059999998</v>
      </c>
      <c r="BM24" s="1380">
        <f t="shared" si="12"/>
        <v>1340.3777700000001</v>
      </c>
      <c r="BN24" s="1380">
        <f t="shared" si="13"/>
        <v>680.53095999999994</v>
      </c>
    </row>
    <row r="25" spans="1:66" ht="24.75" customHeight="1" x14ac:dyDescent="0.25">
      <c r="A25" s="519" t="s">
        <v>332</v>
      </c>
      <c r="B25" s="1381">
        <f>'Проверочная  таблица'!B27</f>
        <v>671792031.76999998</v>
      </c>
      <c r="C25" s="1382">
        <f>'Проверочная  таблица'!D27</f>
        <v>90115904.609999999</v>
      </c>
      <c r="D25" s="1383">
        <f>'Проверочная  таблица'!AN27</f>
        <v>122517629.78</v>
      </c>
      <c r="E25" s="1381">
        <f>'Проверочная  таблица'!VJ27</f>
        <v>392264219.28999996</v>
      </c>
      <c r="F25" s="1384">
        <f>'Проверочная  таблица'!WR27</f>
        <v>66894278.089999996</v>
      </c>
      <c r="G25" s="1384"/>
      <c r="H25" s="1365">
        <f t="shared" si="0"/>
        <v>597269079.91999996</v>
      </c>
      <c r="I25" s="1385">
        <f t="shared" si="0"/>
        <v>37951869</v>
      </c>
      <c r="J25" s="1365">
        <f t="shared" si="0"/>
        <v>109967704.11</v>
      </c>
      <c r="K25" s="1385">
        <f t="shared" si="0"/>
        <v>390145519.28999996</v>
      </c>
      <c r="L25" s="1385">
        <f t="shared" si="0"/>
        <v>59203987.519999996</v>
      </c>
      <c r="M25" s="1365"/>
      <c r="N25" s="1386">
        <f t="shared" si="8"/>
        <v>74522951.849999994</v>
      </c>
      <c r="O25" s="1385">
        <f>'Проверочная  таблица'!P27+'Проверочная  таблица'!AD27+'Проверочная  таблица'!H27</f>
        <v>52164035.609999999</v>
      </c>
      <c r="P25" s="1365">
        <f>'Проверочная  таблица'!BL27+'Проверочная  таблица'!BV27+'Проверочная  таблица'!CJ27+'Проверочная  таблица'!NR27+'Проверочная  таблица'!OZ27+'Проверочная  таблица'!JX27+'Проверочная  таблица'!VD27+'Проверочная  таблица'!AV27+'Проверочная  таблица'!FH27+'Проверочная  таблица'!DJ27+'Проверочная  таблица'!QH27+'Проверочная  таблица'!TL27+'Проверочная  таблица'!MD27+'Проверочная  таблица'!KZ27+'Проверочная  таблица'!RL27+'Проверочная  таблица'!HX27+'Проверочная  таблица'!HD27+'Проверочная  таблица'!GL27+'Проверочная  таблица'!IV27</f>
        <v>12549925.67</v>
      </c>
      <c r="Q25" s="1386">
        <f>'Проверочная  таблица'!VV27</f>
        <v>2118700</v>
      </c>
      <c r="R25" s="1381">
        <f>'Проверочная  таблица'!YT27+'Проверочная  таблица'!XP27</f>
        <v>7690290.5700000003</v>
      </c>
      <c r="S25" s="1387"/>
      <c r="T25" s="1388">
        <f t="shared" si="1"/>
        <v>73354220.129999995</v>
      </c>
      <c r="U25" s="1388">
        <f t="shared" si="2"/>
        <v>52164035.609999999</v>
      </c>
      <c r="V25" s="1389">
        <f t="shared" si="2"/>
        <v>11381193.949999999</v>
      </c>
      <c r="W25" s="1390">
        <f t="shared" si="2"/>
        <v>2118700</v>
      </c>
      <c r="X25" s="1389">
        <f t="shared" si="2"/>
        <v>7690290.5700000003</v>
      </c>
      <c r="Y25" s="1391"/>
      <c r="Z25" s="1390">
        <f t="shared" si="3"/>
        <v>1168731.7199999997</v>
      </c>
      <c r="AA25" s="1388">
        <f>'Проверочная  таблица'!AL27+'Проверочная  таблица'!T27+'Проверочная  таблица'!L27</f>
        <v>0</v>
      </c>
      <c r="AB25" s="1368">
        <f>'Проверочная  таблица'!BZ27+'Проверочная  таблица'!CN27+'Проверочная  таблица'!BR27+'Проверочная  таблица'!VH27+'Проверочная  таблица'!OD27+'Проверочная  таблица'!KJ27+'Проверочная  таблица'!PP27+'Проверочная  таблица'!BD27+'Проверочная  таблица'!FT27+'Проверочная  таблица'!DR27+'Проверочная  таблица'!QT27+'Проверочная  таблица'!UN27+'Проверочная  таблица'!MT27+'Проверочная  таблица'!LP27+'Проверочная  таблица'!RX27+'Проверочная  таблица'!IJ27+'Проверочная  таблица'!HJ27+'Проверочная  таблица'!GT27+'Проверочная  таблица'!JD27</f>
        <v>1168731.7199999997</v>
      </c>
      <c r="AC25" s="1390"/>
      <c r="AD25" s="1392">
        <f>'Проверочная  таблица'!ZR27+'Проверочная  таблица'!XV27</f>
        <v>0</v>
      </c>
      <c r="AE25" s="1393"/>
      <c r="AF25" s="1384">
        <f>'Проверочная  таблица'!C27</f>
        <v>353312103.81999999</v>
      </c>
      <c r="AG25" s="1382">
        <f>'Проверочная  таблица'!E27</f>
        <v>46746282</v>
      </c>
      <c r="AH25" s="1383">
        <f>'Проверочная  таблица'!AO27</f>
        <v>19036340.449999999</v>
      </c>
      <c r="AI25" s="1381">
        <f>'Проверочная  таблица'!VM27</f>
        <v>252706332.04000002</v>
      </c>
      <c r="AJ25" s="1387">
        <f>'Проверочная  таблица'!WS27</f>
        <v>34823149.330000006</v>
      </c>
      <c r="AK25" s="1384"/>
      <c r="AL25" s="1365">
        <f t="shared" si="4"/>
        <v>324133614.76999998</v>
      </c>
      <c r="AM25" s="1385">
        <f t="shared" si="4"/>
        <v>19525934</v>
      </c>
      <c r="AN25" s="1365">
        <f t="shared" si="4"/>
        <v>18828641.98</v>
      </c>
      <c r="AO25" s="1385">
        <f t="shared" si="4"/>
        <v>251761227.03000003</v>
      </c>
      <c r="AP25" s="1385">
        <f t="shared" si="4"/>
        <v>34017811.760000005</v>
      </c>
      <c r="AQ25" s="1365"/>
      <c r="AR25" s="1386">
        <f t="shared" si="9"/>
        <v>29178489.050000001</v>
      </c>
      <c r="AS25" s="1386">
        <f>'Проверочная  таблица'!Q27+'Проверочная  таблица'!AG27+'Проверочная  таблица'!I27</f>
        <v>27220348</v>
      </c>
      <c r="AT25" s="1385">
        <f>'Проверочная  таблица'!VE27+'Проверочная  таблица'!CK27+'Проверочная  таблица'!BW27+'Проверочная  таблица'!BN27+'Проверочная  таблица'!NU27+'Проверочная  таблица'!KA27+'Проверочная  таблица'!PD27+'Проверочная  таблица'!AX27+'Проверочная  таблица'!FK27+'Проверочная  таблица'!DM27+'Проверочная  таблица'!QK27+'Проверочная  таблица'!TS27+'Проверочная  таблица'!MH27+'Проверочная  таблица'!LE27+'Проверочная  таблица'!RO27+'Проверочная  таблица'!IA27+'Проверочная  таблица'!HF27+'Проверочная  таблица'!GO27+'Проверочная  таблица'!IY27</f>
        <v>207698.47000000003</v>
      </c>
      <c r="AU25" s="1387">
        <f>'Проверочная  таблица'!VW27</f>
        <v>945105.00999999989</v>
      </c>
      <c r="AV25" s="1394">
        <f>'Проверочная  таблица'!YZ27+'Проверочная  таблица'!XR27</f>
        <v>805337.57</v>
      </c>
      <c r="AW25" s="1395"/>
      <c r="AX25" s="1389">
        <f t="shared" si="5"/>
        <v>29178489.050000001</v>
      </c>
      <c r="AY25" s="1390">
        <f t="shared" si="6"/>
        <v>27220348</v>
      </c>
      <c r="AZ25" s="1389">
        <f t="shared" si="6"/>
        <v>207698.47000000003</v>
      </c>
      <c r="BA25" s="1390">
        <f t="shared" si="6"/>
        <v>945105.00999999989</v>
      </c>
      <c r="BB25" s="1389">
        <f t="shared" si="6"/>
        <v>805337.57</v>
      </c>
      <c r="BC25" s="1396"/>
      <c r="BD25" s="1397">
        <f t="shared" si="7"/>
        <v>0</v>
      </c>
      <c r="BE25" s="1389">
        <f>'Проверочная  таблица'!M27+'Проверочная  таблица'!U27+'Проверочная  таблица'!AM27</f>
        <v>0</v>
      </c>
      <c r="BF25" s="1370">
        <f>'Проверочная  таблица'!CA27+'Проверочная  таблица'!CO27+'Проверочная  таблица'!BS27+'Проверочная  таблица'!VI27+'Проверочная  таблица'!OG27+'Проверочная  таблица'!KM27+'Проверочная  таблица'!PT27+'Проверочная  таблица'!BF27+'Проверочная  таблица'!FW27+'Проверочная  таблица'!DS27+'Проверочная  таблица'!QW27+'Проверочная  таблица'!UU27+'Проверочная  таблица'!MX27+'Проверочная  таблица'!LS27+'Проверочная  таблица'!SA27+'Проверочная  таблица'!IM27+'Проверочная  таблица'!HK27+'Проверочная  таблица'!GU27+'Проверочная  таблица'!JE27</f>
        <v>0</v>
      </c>
      <c r="BG25" s="1398"/>
      <c r="BH25" s="1399">
        <f>'Проверочная  таблица'!ZX27+'Проверочная  таблица'!XW27</f>
        <v>0</v>
      </c>
      <c r="BI25" s="1391"/>
      <c r="BK25" s="1380">
        <f t="shared" si="10"/>
        <v>581676.12715999992</v>
      </c>
      <c r="BL25" s="1380">
        <f t="shared" si="11"/>
        <v>559317.21091999998</v>
      </c>
      <c r="BM25" s="1380">
        <f t="shared" si="12"/>
        <v>21190.184519999999</v>
      </c>
      <c r="BN25" s="1380">
        <f t="shared" si="13"/>
        <v>1168.7317199999998</v>
      </c>
    </row>
    <row r="26" spans="1:66" ht="24.75" customHeight="1" x14ac:dyDescent="0.25">
      <c r="A26" s="518" t="s">
        <v>333</v>
      </c>
      <c r="B26" s="1381">
        <f>'Проверочная  таблица'!B28</f>
        <v>1518529959.4399998</v>
      </c>
      <c r="C26" s="1382">
        <f>'Проверочная  таблица'!D28</f>
        <v>274764215.65999997</v>
      </c>
      <c r="D26" s="1383">
        <f>'Проверочная  таблица'!AN28</f>
        <v>467434449.3599999</v>
      </c>
      <c r="E26" s="1381">
        <f>'Проверочная  таблица'!VJ28</f>
        <v>627266985.3900001</v>
      </c>
      <c r="F26" s="1384">
        <f>'Проверочная  таблица'!WR28</f>
        <v>149064309.03000003</v>
      </c>
      <c r="G26" s="1384"/>
      <c r="H26" s="1365">
        <f t="shared" si="0"/>
        <v>1086483754.0799999</v>
      </c>
      <c r="I26" s="1385">
        <f t="shared" si="0"/>
        <v>96758881.99999997</v>
      </c>
      <c r="J26" s="1365">
        <f t="shared" si="0"/>
        <v>290431483.14999986</v>
      </c>
      <c r="K26" s="1385">
        <f t="shared" si="0"/>
        <v>623408885.3900001</v>
      </c>
      <c r="L26" s="1385">
        <f t="shared" si="0"/>
        <v>75884503.540000021</v>
      </c>
      <c r="M26" s="1365"/>
      <c r="N26" s="1386">
        <f t="shared" si="8"/>
        <v>432046205.36000001</v>
      </c>
      <c r="O26" s="1385">
        <f>'Проверочная  таблица'!P28+'Проверочная  таблица'!AD28+'Проверочная  таблица'!H28</f>
        <v>178005333.66</v>
      </c>
      <c r="P26" s="1365">
        <f>'Проверочная  таблица'!BL28+'Проверочная  таблица'!BV28+'Проверочная  таблица'!CJ28+'Проверочная  таблица'!NR28+'Проверочная  таблица'!OZ28+'Проверочная  таблица'!JX28+'Проверочная  таблица'!VD28+'Проверочная  таблица'!AV28+'Проверочная  таблица'!FH28+'Проверочная  таблица'!DJ28+'Проверочная  таблица'!QH28+'Проверочная  таблица'!TL28+'Проверочная  таблица'!MD28+'Проверочная  таблица'!KZ28+'Проверочная  таблица'!RL28+'Проверочная  таблица'!HX28+'Проверочная  таблица'!HD28+'Проверочная  таблица'!GL28+'Проверочная  таблица'!IV28</f>
        <v>177002966.21000004</v>
      </c>
      <c r="Q26" s="1386">
        <f>'Проверочная  таблица'!VV28</f>
        <v>3858100</v>
      </c>
      <c r="R26" s="1381">
        <f>'Проверочная  таблица'!YT28+'Проверочная  таблица'!XP28</f>
        <v>73179805.49000001</v>
      </c>
      <c r="S26" s="1387"/>
      <c r="T26" s="1402">
        <f t="shared" si="1"/>
        <v>242375753.63000003</v>
      </c>
      <c r="U26" s="1402">
        <f t="shared" si="2"/>
        <v>122330155.16</v>
      </c>
      <c r="V26" s="1403">
        <f t="shared" si="2"/>
        <v>53617539.51000002</v>
      </c>
      <c r="W26" s="1398">
        <f t="shared" si="2"/>
        <v>3858100</v>
      </c>
      <c r="X26" s="1403">
        <f t="shared" si="2"/>
        <v>62569958.960000008</v>
      </c>
      <c r="Y26" s="1393"/>
      <c r="Z26" s="1398">
        <f t="shared" si="3"/>
        <v>189670451.73000002</v>
      </c>
      <c r="AA26" s="1402">
        <f>'Проверочная  таблица'!AL28+'Проверочная  таблица'!T28+'Проверочная  таблица'!L28</f>
        <v>55675178.5</v>
      </c>
      <c r="AB26" s="1368">
        <f>'Проверочная  таблица'!BZ28+'Проверочная  таблица'!CN28+'Проверочная  таблица'!BR28+'Проверочная  таблица'!VH28+'Проверочная  таблица'!OD28+'Проверочная  таблица'!KJ28+'Проверочная  таблица'!PP28+'Проверочная  таблица'!BD28+'Проверочная  таблица'!FT28+'Проверочная  таблица'!DR28+'Проверочная  таблица'!QT28+'Проверочная  таблица'!UN28+'Проверочная  таблица'!MT28+'Проверочная  таблица'!LP28+'Проверочная  таблица'!RX28+'Проверочная  таблица'!IJ28+'Проверочная  таблица'!HJ28+'Проверочная  таблица'!GT28+'Проверочная  таблица'!JD28</f>
        <v>123385426.70000002</v>
      </c>
      <c r="AC26" s="1398"/>
      <c r="AD26" s="1399">
        <f>'Проверочная  таблица'!ZR28+'Проверочная  таблица'!XV28</f>
        <v>10609846.529999999</v>
      </c>
      <c r="AE26" s="1393"/>
      <c r="AF26" s="1384">
        <f>'Проверочная  таблица'!C28</f>
        <v>755893181.32000005</v>
      </c>
      <c r="AG26" s="1382">
        <f>'Проверочная  таблица'!E28</f>
        <v>129889335.82000001</v>
      </c>
      <c r="AH26" s="1383">
        <f>'Проверочная  таблица'!AO28</f>
        <v>63472719.899999991</v>
      </c>
      <c r="AI26" s="1381">
        <f>'Проверочная  таблица'!VM28</f>
        <v>507159229.92000008</v>
      </c>
      <c r="AJ26" s="1387">
        <f>'Проверочная  таблица'!WS28</f>
        <v>55371895.68</v>
      </c>
      <c r="AK26" s="1384"/>
      <c r="AL26" s="1365">
        <f t="shared" si="4"/>
        <v>601866965.49000001</v>
      </c>
      <c r="AM26" s="1385">
        <f t="shared" si="4"/>
        <v>37460944</v>
      </c>
      <c r="AN26" s="1365">
        <f t="shared" si="4"/>
        <v>25882839.199999996</v>
      </c>
      <c r="AO26" s="1385">
        <f t="shared" si="4"/>
        <v>505230179.92000008</v>
      </c>
      <c r="AP26" s="1385">
        <f t="shared" si="4"/>
        <v>33293002.369999997</v>
      </c>
      <c r="AQ26" s="1365"/>
      <c r="AR26" s="1386">
        <f t="shared" si="9"/>
        <v>154026215.83000001</v>
      </c>
      <c r="AS26" s="1386">
        <f>'Проверочная  таблица'!Q28+'Проверочная  таблица'!AG28+'Проверочная  таблица'!I28</f>
        <v>92428391.820000008</v>
      </c>
      <c r="AT26" s="1385">
        <f>'Проверочная  таблица'!VE28+'Проверочная  таблица'!CK28+'Проверочная  таблица'!BW28+'Проверочная  таблица'!BN28+'Проверочная  таблица'!NU28+'Проверочная  таблица'!KA28+'Проверочная  таблица'!PD28+'Проверочная  таблица'!AX28+'Проверочная  таблица'!FK28+'Проверочная  таблица'!DM28+'Проверочная  таблица'!QK28+'Проверочная  таблица'!TS28+'Проверочная  таблица'!MH28+'Проверочная  таблица'!LE28+'Проверочная  таблица'!RO28+'Проверочная  таблица'!IA28+'Проверочная  таблица'!HF28+'Проверочная  таблица'!GO28+'Проверочная  таблица'!IY28</f>
        <v>37589880.699999996</v>
      </c>
      <c r="AU26" s="1387">
        <f>'Проверочная  таблица'!VW28</f>
        <v>1929050</v>
      </c>
      <c r="AV26" s="1394">
        <f>'Проверочная  таблица'!YZ28+'Проверочная  таблица'!XR28</f>
        <v>22078893.310000002</v>
      </c>
      <c r="AW26" s="1395"/>
      <c r="AX26" s="1389">
        <f t="shared" si="5"/>
        <v>96915192.450000003</v>
      </c>
      <c r="AY26" s="1390">
        <f t="shared" si="6"/>
        <v>64590803.820000008</v>
      </c>
      <c r="AZ26" s="1389">
        <f t="shared" si="6"/>
        <v>16718312.079999998</v>
      </c>
      <c r="BA26" s="1390">
        <f t="shared" si="6"/>
        <v>1929050</v>
      </c>
      <c r="BB26" s="1389">
        <f t="shared" si="6"/>
        <v>13677026.550000003</v>
      </c>
      <c r="BC26" s="1396"/>
      <c r="BD26" s="1397">
        <f t="shared" si="7"/>
        <v>57111023.379999995</v>
      </c>
      <c r="BE26" s="1389">
        <f>'Проверочная  таблица'!M28+'Проверочная  таблица'!U28+'Проверочная  таблица'!AM28</f>
        <v>27837588</v>
      </c>
      <c r="BF26" s="1370">
        <f>'Проверочная  таблица'!CA28+'Проверочная  таблица'!CO28+'Проверочная  таблица'!BS28+'Проверочная  таблица'!VI28+'Проверочная  таблица'!OG28+'Проверочная  таблица'!KM28+'Проверочная  таблица'!PT28+'Проверочная  таблица'!BF28+'Проверочная  таблица'!FW28+'Проверочная  таблица'!DS28+'Проверочная  таблица'!QW28+'Проверочная  таблица'!UU28+'Проверочная  таблица'!MX28+'Проверочная  таблица'!LS28+'Проверочная  таблица'!SA28+'Проверочная  таблица'!IM28+'Проверочная  таблица'!HK28+'Проверочная  таблица'!GU28+'Проверочная  таблица'!JE28</f>
        <v>20871568.619999997</v>
      </c>
      <c r="BG26" s="1398"/>
      <c r="BH26" s="1399">
        <f>'Проверочная  таблица'!ZX28+'Проверочная  таблица'!XW28</f>
        <v>8401866.7599999998</v>
      </c>
      <c r="BI26" s="1393"/>
      <c r="BK26" s="1380">
        <f t="shared" si="10"/>
        <v>1243765.7437799999</v>
      </c>
      <c r="BL26" s="1380">
        <f t="shared" si="11"/>
        <v>989724.87207999988</v>
      </c>
      <c r="BM26" s="1380">
        <f t="shared" si="12"/>
        <v>120045.59847000003</v>
      </c>
      <c r="BN26" s="1380">
        <f t="shared" si="13"/>
        <v>133995.27323000002</v>
      </c>
    </row>
    <row r="27" spans="1:66" ht="24.75" customHeight="1" x14ac:dyDescent="0.25">
      <c r="A27" s="518" t="s">
        <v>334</v>
      </c>
      <c r="B27" s="1381">
        <f>'Проверочная  таблица'!B29</f>
        <v>840218927.33999991</v>
      </c>
      <c r="C27" s="1382">
        <f>'Проверочная  таблица'!D29</f>
        <v>323594165.05000001</v>
      </c>
      <c r="D27" s="1383">
        <f>'Проверочная  таблица'!AN29</f>
        <v>111717788.67999999</v>
      </c>
      <c r="E27" s="1381">
        <f>'Проверочная  таблица'!VJ29</f>
        <v>306943760.31</v>
      </c>
      <c r="F27" s="1384">
        <f>'Проверочная  таблица'!WR29</f>
        <v>97963213.299999982</v>
      </c>
      <c r="G27" s="1384"/>
      <c r="H27" s="1365">
        <f t="shared" ref="H27:L28" si="14">B27-N27</f>
        <v>745898031.13999987</v>
      </c>
      <c r="I27" s="1385">
        <f t="shared" si="14"/>
        <v>244636839</v>
      </c>
      <c r="J27" s="1365">
        <f t="shared" si="14"/>
        <v>102031104.84999999</v>
      </c>
      <c r="K27" s="1385">
        <f t="shared" si="14"/>
        <v>305045260.31</v>
      </c>
      <c r="L27" s="1385">
        <f t="shared" si="14"/>
        <v>94184826.979999989</v>
      </c>
      <c r="M27" s="1365"/>
      <c r="N27" s="1386">
        <f t="shared" si="8"/>
        <v>94320896.199999988</v>
      </c>
      <c r="O27" s="1385">
        <f>'Проверочная  таблица'!P29+'Проверочная  таблица'!AD29+'Проверочная  таблица'!H29</f>
        <v>78957326.049999997</v>
      </c>
      <c r="P27" s="1365">
        <f>'Проверочная  таблица'!BL29+'Проверочная  таблица'!BV29+'Проверочная  таблица'!CJ29+'Проверочная  таблица'!NR29+'Проверочная  таблица'!OZ29+'Проверочная  таблица'!JX29+'Проверочная  таблица'!VD29+'Проверочная  таблица'!AV29+'Проверочная  таблица'!FH29+'Проверочная  таблица'!DJ29+'Проверочная  таблица'!QH29+'Проверочная  таблица'!TL29+'Проверочная  таблица'!MD29+'Проверочная  таблица'!KZ29+'Проверочная  таблица'!RL29+'Проверочная  таблица'!HX29+'Проверочная  таблица'!HD29+'Проверочная  таблица'!GL29+'Проверочная  таблица'!IV29</f>
        <v>9686683.8300000001</v>
      </c>
      <c r="Q27" s="1386">
        <f>'Проверочная  таблица'!VV29</f>
        <v>1898500</v>
      </c>
      <c r="R27" s="1381">
        <f>'Проверочная  таблица'!YT29+'Проверочная  таблица'!XP29</f>
        <v>3778386.3200000003</v>
      </c>
      <c r="S27" s="1387"/>
      <c r="T27" s="1402">
        <f t="shared" si="1"/>
        <v>92493469.900000006</v>
      </c>
      <c r="U27" s="1402">
        <f t="shared" ref="U27:X28" si="15">O27-AA27</f>
        <v>78957326.049999997</v>
      </c>
      <c r="V27" s="1403">
        <f t="shared" si="15"/>
        <v>7859257.5300000003</v>
      </c>
      <c r="W27" s="1398">
        <f t="shared" si="15"/>
        <v>1898500</v>
      </c>
      <c r="X27" s="1403">
        <f t="shared" si="15"/>
        <v>3778386.3200000003</v>
      </c>
      <c r="Y27" s="1393"/>
      <c r="Z27" s="1398">
        <f t="shared" si="3"/>
        <v>1827426.3</v>
      </c>
      <c r="AA27" s="1402">
        <f>'Проверочная  таблица'!AL29+'Проверочная  таблица'!T29+'Проверочная  таблица'!L29</f>
        <v>0</v>
      </c>
      <c r="AB27" s="1368">
        <f>'Проверочная  таблица'!BZ29+'Проверочная  таблица'!CN29+'Проверочная  таблица'!BR29+'Проверочная  таблица'!VH29+'Проверочная  таблица'!OD29+'Проверочная  таблица'!KJ29+'Проверочная  таблица'!PP29+'Проверочная  таблица'!BD29+'Проверочная  таблица'!FT29+'Проверочная  таблица'!DR29+'Проверочная  таблица'!QT29+'Проверочная  таблица'!UN29+'Проверочная  таблица'!MT29+'Проверочная  таблица'!LP29+'Проверочная  таблица'!RX29+'Проверочная  таблица'!IJ29+'Проверочная  таблица'!HJ29+'Проверочная  таблица'!GT29+'Проверочная  таблица'!JD29</f>
        <v>1827426.3</v>
      </c>
      <c r="AC27" s="1398"/>
      <c r="AD27" s="1399">
        <f>'Проверочная  таблица'!ZR29+'Проверочная  таблица'!XV29</f>
        <v>0</v>
      </c>
      <c r="AE27" s="1393"/>
      <c r="AF27" s="1384">
        <f>'Проверочная  таблица'!C29</f>
        <v>411398424.43000007</v>
      </c>
      <c r="AG27" s="1382">
        <f>'Проверочная  таблица'!E29</f>
        <v>157463040</v>
      </c>
      <c r="AH27" s="1383">
        <f>'Проверочная  таблица'!AO29</f>
        <v>22255457.789999999</v>
      </c>
      <c r="AI27" s="1381">
        <f>'Проверочная  таблица'!VM29</f>
        <v>194952420.59</v>
      </c>
      <c r="AJ27" s="1387">
        <f>'Проверочная  таблица'!WS29</f>
        <v>36727506.049999997</v>
      </c>
      <c r="AK27" s="1384"/>
      <c r="AL27" s="1365">
        <f t="shared" ref="AL27:AP28" si="16">AF27-AR27</f>
        <v>350512090.75000006</v>
      </c>
      <c r="AM27" s="1385">
        <f t="shared" si="16"/>
        <v>103351814</v>
      </c>
      <c r="AN27" s="1365">
        <f t="shared" si="16"/>
        <v>16271607.66</v>
      </c>
      <c r="AO27" s="1385">
        <f t="shared" si="16"/>
        <v>194161163.03999999</v>
      </c>
      <c r="AP27" s="1385">
        <f t="shared" si="16"/>
        <v>36727506.049999997</v>
      </c>
      <c r="AQ27" s="1365"/>
      <c r="AR27" s="1386">
        <f t="shared" si="9"/>
        <v>60886333.68</v>
      </c>
      <c r="AS27" s="1386">
        <f>'Проверочная  таблица'!Q29+'Проверочная  таблица'!AG29+'Проверочная  таблица'!I29</f>
        <v>54111226</v>
      </c>
      <c r="AT27" s="1385">
        <f>'Проверочная  таблица'!VE29+'Проверочная  таблица'!CK29+'Проверочная  таблица'!BW29+'Проверочная  таблица'!BN29+'Проверочная  таблица'!NU29+'Проверочная  таблица'!KA29+'Проверочная  таблица'!PD29+'Проверочная  таблица'!AX29+'Проверочная  таблица'!FK29+'Проверочная  таблица'!DM29+'Проверочная  таблица'!QK29+'Проверочная  таблица'!TS29+'Проверочная  таблица'!MH29+'Проверочная  таблица'!LE29+'Проверочная  таблица'!RO29+'Проверочная  таблица'!IA29+'Проверочная  таблица'!HF29+'Проверочная  таблица'!GO29+'Проверочная  таблица'!IY29</f>
        <v>5983850.1299999999</v>
      </c>
      <c r="AU27" s="1387">
        <f>'Проверочная  таблица'!VW29</f>
        <v>791257.54999999993</v>
      </c>
      <c r="AV27" s="1394">
        <f>'Проверочная  таблица'!YZ29+'Проверочная  таблица'!XR29</f>
        <v>0</v>
      </c>
      <c r="AW27" s="1395"/>
      <c r="AX27" s="1389">
        <f t="shared" si="5"/>
        <v>60886333.68</v>
      </c>
      <c r="AY27" s="1390">
        <f t="shared" ref="AY27:BB28" si="17">AS27-BE27</f>
        <v>54111226</v>
      </c>
      <c r="AZ27" s="1389">
        <f t="shared" si="17"/>
        <v>5983850.1299999999</v>
      </c>
      <c r="BA27" s="1390">
        <f t="shared" si="17"/>
        <v>791257.54999999993</v>
      </c>
      <c r="BB27" s="1389">
        <f t="shared" si="17"/>
        <v>0</v>
      </c>
      <c r="BC27" s="1396"/>
      <c r="BD27" s="1397">
        <f t="shared" si="7"/>
        <v>0</v>
      </c>
      <c r="BE27" s="1389">
        <f>'Проверочная  таблица'!M29+'Проверочная  таблица'!U29+'Проверочная  таблица'!AM29</f>
        <v>0</v>
      </c>
      <c r="BF27" s="1370">
        <f>'Проверочная  таблица'!CA29+'Проверочная  таблица'!CO29+'Проверочная  таблица'!BS29+'Проверочная  таблица'!VI29+'Проверочная  таблица'!OG29+'Проверочная  таблица'!KM29+'Проверочная  таблица'!PT29+'Проверочная  таблица'!BF29+'Проверочная  таблица'!FW29+'Проверочная  таблица'!DS29+'Проверочная  таблица'!QW29+'Проверочная  таблица'!UU29+'Проверочная  таблица'!MX29+'Проверочная  таблица'!LS29+'Проверочная  таблица'!SA29+'Проверочная  таблица'!IM29+'Проверочная  таблица'!HK29+'Проверочная  таблица'!GU29+'Проверочная  таблица'!JE29</f>
        <v>0</v>
      </c>
      <c r="BG27" s="1398"/>
      <c r="BH27" s="1399">
        <f>'Проверочная  таблица'!ZX29+'Проверочная  таблица'!XW29</f>
        <v>0</v>
      </c>
      <c r="BI27" s="1393"/>
      <c r="BK27" s="1380">
        <f t="shared" si="10"/>
        <v>516624.76228999998</v>
      </c>
      <c r="BL27" s="1380">
        <f t="shared" si="11"/>
        <v>501261.19214</v>
      </c>
      <c r="BM27" s="1380">
        <f t="shared" si="12"/>
        <v>13536.143850000002</v>
      </c>
      <c r="BN27" s="1380">
        <f t="shared" si="13"/>
        <v>1827.4263000000001</v>
      </c>
    </row>
    <row r="28" spans="1:66" ht="24.75" customHeight="1" thickBot="1" x14ac:dyDescent="0.3">
      <c r="A28" s="522" t="s">
        <v>335</v>
      </c>
      <c r="B28" s="1404">
        <f>'Проверочная  таблица'!B30</f>
        <v>1025812886.15</v>
      </c>
      <c r="C28" s="1405">
        <f>'Проверочная  таблица'!D30</f>
        <v>118657113.49000001</v>
      </c>
      <c r="D28" s="1406">
        <f>'Проверочная  таблица'!AN30</f>
        <v>356742579.00999993</v>
      </c>
      <c r="E28" s="1404">
        <f>'Проверочная  таблица'!VJ30</f>
        <v>442526626.91000003</v>
      </c>
      <c r="F28" s="1407">
        <f>'Проверочная  таблица'!WR30</f>
        <v>107886566.73999999</v>
      </c>
      <c r="G28" s="1407"/>
      <c r="H28" s="1408">
        <f t="shared" si="14"/>
        <v>845260207.44999993</v>
      </c>
      <c r="I28" s="1409">
        <f t="shared" si="14"/>
        <v>28818127</v>
      </c>
      <c r="J28" s="1408">
        <f t="shared" si="14"/>
        <v>278633688.48999989</v>
      </c>
      <c r="K28" s="1409">
        <f t="shared" si="14"/>
        <v>439333126.91000003</v>
      </c>
      <c r="L28" s="1409">
        <f t="shared" si="14"/>
        <v>98475265.049999997</v>
      </c>
      <c r="M28" s="1408"/>
      <c r="N28" s="1410">
        <f t="shared" si="8"/>
        <v>180552678.70000002</v>
      </c>
      <c r="O28" s="1409">
        <f>'Проверочная  таблица'!P30+'Проверочная  таблица'!AD30+'Проверочная  таблица'!H30</f>
        <v>89838986.49000001</v>
      </c>
      <c r="P28" s="1365">
        <f>'Проверочная  таблица'!BL30+'Проверочная  таблица'!BV30+'Проверочная  таблица'!CJ30+'Проверочная  таблица'!NR30+'Проверочная  таблица'!OZ30+'Проверочная  таблица'!JX30+'Проверочная  таблица'!VD30+'Проверочная  таблица'!AV30+'Проверочная  таблица'!FH30+'Проверочная  таблица'!DJ30+'Проверочная  таблица'!QH30+'Проверочная  таблица'!TL30+'Проверочная  таблица'!MD30+'Проверочная  таблица'!KZ30+'Проверочная  таблица'!RL30+'Проверочная  таблица'!HX30+'Проверочная  таблица'!HD30+'Проверочная  таблица'!GL30+'Проверочная  таблица'!IV30</f>
        <v>78108890.520000011</v>
      </c>
      <c r="Q28" s="1410">
        <f>'Проверочная  таблица'!VV30</f>
        <v>3193500</v>
      </c>
      <c r="R28" s="1404">
        <f>'Проверочная  таблица'!YT30+'Проверочная  таблица'!XP30</f>
        <v>9411301.6899999995</v>
      </c>
      <c r="S28" s="1411"/>
      <c r="T28" s="1412">
        <f t="shared" si="1"/>
        <v>135090400.43000004</v>
      </c>
      <c r="U28" s="1412">
        <f t="shared" si="15"/>
        <v>83678383.49000001</v>
      </c>
      <c r="V28" s="1413">
        <f t="shared" si="15"/>
        <v>38807215.250000015</v>
      </c>
      <c r="W28" s="1414">
        <f t="shared" si="15"/>
        <v>3193500</v>
      </c>
      <c r="X28" s="1413">
        <f t="shared" si="15"/>
        <v>9411301.6899999995</v>
      </c>
      <c r="Y28" s="1415"/>
      <c r="Z28" s="1414">
        <f t="shared" si="3"/>
        <v>45462278.269999996</v>
      </c>
      <c r="AA28" s="1412">
        <f>'Проверочная  таблица'!AL30+'Проверочная  таблица'!T30+'Проверочная  таблица'!L30</f>
        <v>6160603</v>
      </c>
      <c r="AB28" s="1368">
        <f>'Проверочная  таблица'!BZ30+'Проверочная  таблица'!CN30+'Проверочная  таблица'!BR30+'Проверочная  таблица'!VH30+'Проверочная  таблица'!OD30+'Проверочная  таблица'!KJ30+'Проверочная  таблица'!PP30+'Проверочная  таблица'!BD30+'Проверочная  таблица'!FT30+'Проверочная  таблица'!DR30+'Проверочная  таблица'!QT30+'Проверочная  таблица'!UN30+'Проверочная  таблица'!MT30+'Проверочная  таблица'!LP30+'Проверочная  таблица'!RX30+'Проверочная  таблица'!IJ30+'Проверочная  таблица'!HJ30+'Проверочная  таблица'!GT30+'Проверочная  таблица'!JD30</f>
        <v>39301675.269999996</v>
      </c>
      <c r="AC28" s="1414"/>
      <c r="AD28" s="1416">
        <f>'Проверочная  таблица'!ZR30+'Проверочная  таблица'!XV30</f>
        <v>0</v>
      </c>
      <c r="AE28" s="1415"/>
      <c r="AF28" s="1407">
        <f>'Проверочная  таблица'!C30</f>
        <v>374750669.57999998</v>
      </c>
      <c r="AG28" s="1405">
        <f>'Проверочная  таблица'!E30</f>
        <v>64545519.719999999</v>
      </c>
      <c r="AH28" s="1406">
        <f>'Проверочная  таблица'!AO30</f>
        <v>53365816.700000003</v>
      </c>
      <c r="AI28" s="1404">
        <f>'Проверочная  таблица'!VM30</f>
        <v>225901334.59</v>
      </c>
      <c r="AJ28" s="1411">
        <f>'Проверочная  таблица'!WS30</f>
        <v>30937998.57</v>
      </c>
      <c r="AK28" s="1407"/>
      <c r="AL28" s="1408">
        <f t="shared" si="16"/>
        <v>301404884.79999995</v>
      </c>
      <c r="AM28" s="1409">
        <f t="shared" si="16"/>
        <v>18300000</v>
      </c>
      <c r="AN28" s="1408">
        <f t="shared" si="16"/>
        <v>28051969.890000004</v>
      </c>
      <c r="AO28" s="1409">
        <f t="shared" si="16"/>
        <v>224639621.34</v>
      </c>
      <c r="AP28" s="1409">
        <f t="shared" si="16"/>
        <v>30413293.57</v>
      </c>
      <c r="AQ28" s="1408"/>
      <c r="AR28" s="1410">
        <f t="shared" si="9"/>
        <v>73345784.780000001</v>
      </c>
      <c r="AS28" s="1410">
        <f>'Проверочная  таблица'!Q30+'Проверочная  таблица'!AG30+'Проверочная  таблица'!I30</f>
        <v>46245519.719999999</v>
      </c>
      <c r="AT28" s="1409">
        <f>'Проверочная  таблица'!VE30+'Проверочная  таблица'!CK30+'Проверочная  таблица'!BW30+'Проверочная  таблица'!BN30+'Проверочная  таблица'!NU30+'Проверочная  таблица'!KA30+'Проверочная  таблица'!PD30+'Проверочная  таблица'!AX30+'Проверочная  таблица'!FK30+'Проверочная  таблица'!DM30+'Проверочная  таблица'!QK30+'Проверочная  таблица'!TS30+'Проверочная  таблица'!MH30+'Проверочная  таблица'!LE30+'Проверочная  таблица'!RO30+'Проверочная  таблица'!IA30+'Проверочная  таблица'!HF30+'Проверочная  таблица'!GO30+'Проверочная  таблица'!IY30</f>
        <v>25313846.809999999</v>
      </c>
      <c r="AU28" s="1411">
        <f>'Проверочная  таблица'!VW30</f>
        <v>1261713.25</v>
      </c>
      <c r="AV28" s="1417">
        <f>'Проверочная  таблица'!YZ30+'Проверочная  таблица'!XR30</f>
        <v>524705</v>
      </c>
      <c r="AW28" s="1418"/>
      <c r="AX28" s="1419">
        <f t="shared" si="5"/>
        <v>53198934.489999995</v>
      </c>
      <c r="AY28" s="1420">
        <f t="shared" si="17"/>
        <v>43465519.719999999</v>
      </c>
      <c r="AZ28" s="1419">
        <f t="shared" si="17"/>
        <v>7946996.5199999996</v>
      </c>
      <c r="BA28" s="1420">
        <f t="shared" si="17"/>
        <v>1261713.25</v>
      </c>
      <c r="BB28" s="1419">
        <f t="shared" si="17"/>
        <v>524705</v>
      </c>
      <c r="BC28" s="1421"/>
      <c r="BD28" s="1422">
        <f t="shared" si="7"/>
        <v>20146850.289999999</v>
      </c>
      <c r="BE28" s="1419">
        <f>'Проверочная  таблица'!M30+'Проверочная  таблица'!U30+'Проверочная  таблица'!AM30</f>
        <v>2780000</v>
      </c>
      <c r="BF28" s="1370">
        <f>'Проверочная  таблица'!CA30+'Проверочная  таблица'!CO30+'Проверочная  таблица'!BS30+'Проверочная  таблица'!VI30+'Проверочная  таблица'!OG30+'Проверочная  таблица'!KM30+'Проверочная  таблица'!PT30+'Проверочная  таблица'!BF30+'Проверочная  таблица'!FW30+'Проверочная  таблица'!DS30+'Проверочная  таблица'!QW30+'Проверочная  таблица'!UU30+'Проверочная  таблица'!MX30+'Проверочная  таблица'!LS30+'Проверочная  таблица'!SA30+'Проверочная  таблица'!IM30+'Проверочная  таблица'!HK30+'Проверочная  таблица'!GU30+'Проверочная  таблица'!JE30</f>
        <v>17366850.289999999</v>
      </c>
      <c r="BG28" s="1414"/>
      <c r="BH28" s="1416">
        <f>'Проверочная  таблица'!ZX30+'Проверочная  таблица'!XW30</f>
        <v>0</v>
      </c>
      <c r="BI28" s="1415"/>
      <c r="BK28" s="1380">
        <f t="shared" si="10"/>
        <v>907155.77266000002</v>
      </c>
      <c r="BL28" s="1380">
        <f t="shared" si="11"/>
        <v>816442.08044999978</v>
      </c>
      <c r="BM28" s="1380">
        <f t="shared" si="12"/>
        <v>51412.016940000016</v>
      </c>
      <c r="BN28" s="1380">
        <f t="shared" si="13"/>
        <v>39301.675269999992</v>
      </c>
    </row>
    <row r="29" spans="1:66" ht="24.75" customHeight="1" thickBot="1" x14ac:dyDescent="0.3">
      <c r="A29" s="1101" t="s">
        <v>336</v>
      </c>
      <c r="B29" s="523">
        <f t="shared" ref="B29:AW29" si="18">SUM(B11:B28)</f>
        <v>22599448902.110004</v>
      </c>
      <c r="C29" s="524">
        <f t="shared" si="18"/>
        <v>3540537187.5400009</v>
      </c>
      <c r="D29" s="525">
        <f>SUM(D11:D28)</f>
        <v>9136788482.7900009</v>
      </c>
      <c r="E29" s="523">
        <f t="shared" si="18"/>
        <v>8123140951.9700003</v>
      </c>
      <c r="F29" s="523">
        <f t="shared" si="18"/>
        <v>1798982279.8099997</v>
      </c>
      <c r="G29" s="523">
        <f t="shared" si="18"/>
        <v>0</v>
      </c>
      <c r="H29" s="526">
        <f t="shared" si="18"/>
        <v>18674841458.759998</v>
      </c>
      <c r="I29" s="523">
        <f>SUM(I11:I28)</f>
        <v>1786514965</v>
      </c>
      <c r="J29" s="524">
        <f>SUM(J11:J28)</f>
        <v>7641733709.4099998</v>
      </c>
      <c r="K29" s="527">
        <f t="shared" si="18"/>
        <v>8086171651.9700003</v>
      </c>
      <c r="L29" s="523">
        <f t="shared" si="18"/>
        <v>1160421132.3799999</v>
      </c>
      <c r="M29" s="524">
        <f t="shared" si="18"/>
        <v>0</v>
      </c>
      <c r="N29" s="528">
        <f t="shared" si="18"/>
        <v>3924607443.3499994</v>
      </c>
      <c r="O29" s="524">
        <f t="shared" si="18"/>
        <v>1754022222.5400002</v>
      </c>
      <c r="P29" s="528">
        <f>SUM(P11:P28)</f>
        <v>1495054773.3800001</v>
      </c>
      <c r="Q29" s="524">
        <f t="shared" si="18"/>
        <v>36969300</v>
      </c>
      <c r="R29" s="523">
        <f t="shared" si="18"/>
        <v>638561147.43000007</v>
      </c>
      <c r="S29" s="523">
        <f t="shared" si="18"/>
        <v>0</v>
      </c>
      <c r="T29" s="529">
        <f t="shared" ref="T29:AE29" si="19">SUM(T11:T28)</f>
        <v>1799347374.5100005</v>
      </c>
      <c r="U29" s="530">
        <f t="shared" si="19"/>
        <v>1052660167.0800002</v>
      </c>
      <c r="V29" s="531">
        <f t="shared" si="19"/>
        <v>377249160.38</v>
      </c>
      <c r="W29" s="530">
        <f t="shared" si="19"/>
        <v>36969300</v>
      </c>
      <c r="X29" s="531">
        <f t="shared" si="19"/>
        <v>332468747.04999995</v>
      </c>
      <c r="Y29" s="532">
        <f t="shared" si="19"/>
        <v>0</v>
      </c>
      <c r="Z29" s="529">
        <f t="shared" si="19"/>
        <v>2125260068.8399999</v>
      </c>
      <c r="AA29" s="530">
        <f t="shared" si="19"/>
        <v>701362055.46000004</v>
      </c>
      <c r="AB29" s="529">
        <f t="shared" si="19"/>
        <v>1117805612.9999998</v>
      </c>
      <c r="AC29" s="530">
        <f t="shared" si="19"/>
        <v>0</v>
      </c>
      <c r="AD29" s="531">
        <f t="shared" si="19"/>
        <v>306092400.38</v>
      </c>
      <c r="AE29" s="532">
        <f t="shared" si="19"/>
        <v>0</v>
      </c>
      <c r="AF29" s="523">
        <f t="shared" si="18"/>
        <v>8855437711.4699993</v>
      </c>
      <c r="AG29" s="524">
        <f t="shared" si="18"/>
        <v>1582402618.4200001</v>
      </c>
      <c r="AH29" s="525">
        <f>SUM(AH11:AH28)</f>
        <v>1871647477.3000002</v>
      </c>
      <c r="AI29" s="523">
        <f t="shared" si="18"/>
        <v>4852079455.0200005</v>
      </c>
      <c r="AJ29" s="523">
        <f t="shared" si="18"/>
        <v>549308160.73000014</v>
      </c>
      <c r="AK29" s="523">
        <f t="shared" si="18"/>
        <v>0</v>
      </c>
      <c r="AL29" s="526">
        <f t="shared" si="18"/>
        <v>7483642395.9299994</v>
      </c>
      <c r="AM29" s="527">
        <f>SUM(AM11:AM28)</f>
        <v>799234037</v>
      </c>
      <c r="AN29" s="526">
        <f>SUM(AN11:AN28)</f>
        <v>1396975635.5700006</v>
      </c>
      <c r="AO29" s="527">
        <f t="shared" si="18"/>
        <v>4837117825.29</v>
      </c>
      <c r="AP29" s="523">
        <f t="shared" si="18"/>
        <v>450314898.06999999</v>
      </c>
      <c r="AQ29" s="524">
        <f t="shared" si="18"/>
        <v>0</v>
      </c>
      <c r="AR29" s="527">
        <f t="shared" si="18"/>
        <v>1371795315.5399997</v>
      </c>
      <c r="AS29" s="526">
        <f t="shared" si="18"/>
        <v>783168581.42000008</v>
      </c>
      <c r="AT29" s="525">
        <f>SUM(AT11:AT28)</f>
        <v>474671841.72999996</v>
      </c>
      <c r="AU29" s="523">
        <f t="shared" si="18"/>
        <v>14961629.73</v>
      </c>
      <c r="AV29" s="523">
        <f t="shared" si="18"/>
        <v>98993262.659999996</v>
      </c>
      <c r="AW29" s="523">
        <f t="shared" si="18"/>
        <v>0</v>
      </c>
      <c r="AX29" s="531">
        <f t="shared" ref="AX29:BI29" si="20">SUM(AX11:AX28)</f>
        <v>634293895.19000006</v>
      </c>
      <c r="AY29" s="530">
        <f t="shared" si="20"/>
        <v>503253943.41999996</v>
      </c>
      <c r="AZ29" s="531">
        <f t="shared" si="20"/>
        <v>84979530.279999986</v>
      </c>
      <c r="BA29" s="530">
        <f t="shared" si="20"/>
        <v>14961629.73</v>
      </c>
      <c r="BB29" s="531">
        <f t="shared" si="20"/>
        <v>31098791.760000005</v>
      </c>
      <c r="BC29" s="532">
        <f t="shared" si="20"/>
        <v>0</v>
      </c>
      <c r="BD29" s="533">
        <f t="shared" si="20"/>
        <v>737501420.35000002</v>
      </c>
      <c r="BE29" s="531">
        <f t="shared" si="20"/>
        <v>279914638</v>
      </c>
      <c r="BF29" s="529">
        <f t="shared" si="20"/>
        <v>389692311.44999999</v>
      </c>
      <c r="BG29" s="530">
        <f t="shared" si="20"/>
        <v>0</v>
      </c>
      <c r="BH29" s="531">
        <f t="shared" si="20"/>
        <v>67894470.900000006</v>
      </c>
      <c r="BI29" s="531">
        <f t="shared" si="20"/>
        <v>0</v>
      </c>
      <c r="BK29" s="1380">
        <f t="shared" si="10"/>
        <v>19058911.714570004</v>
      </c>
      <c r="BL29" s="1380">
        <f t="shared" si="11"/>
        <v>16888326.493760001</v>
      </c>
      <c r="BM29" s="1380">
        <f t="shared" si="12"/>
        <v>746687.20742999995</v>
      </c>
      <c r="BN29" s="1380">
        <f t="shared" si="13"/>
        <v>1423898.0133799997</v>
      </c>
    </row>
    <row r="30" spans="1:66" ht="24.75" customHeight="1" x14ac:dyDescent="0.25">
      <c r="A30" s="534"/>
      <c r="B30" s="534"/>
      <c r="C30" s="535"/>
      <c r="D30" s="534"/>
      <c r="E30" s="535"/>
      <c r="F30" s="534"/>
      <c r="G30" s="534"/>
      <c r="H30" s="536"/>
      <c r="I30" s="537"/>
      <c r="J30" s="536"/>
      <c r="K30" s="537"/>
      <c r="L30" s="538"/>
      <c r="M30" s="539"/>
      <c r="N30" s="538"/>
      <c r="O30" s="540"/>
      <c r="P30" s="541"/>
      <c r="Q30" s="540"/>
      <c r="R30" s="534"/>
      <c r="S30" s="538"/>
      <c r="T30" s="542"/>
      <c r="U30" s="543"/>
      <c r="V30" s="544"/>
      <c r="W30" s="543"/>
      <c r="X30" s="545"/>
      <c r="Y30" s="542"/>
      <c r="Z30" s="542"/>
      <c r="AA30" s="543"/>
      <c r="AB30" s="544"/>
      <c r="AC30" s="543"/>
      <c r="AD30" s="545"/>
      <c r="AE30" s="542"/>
      <c r="AF30" s="534"/>
      <c r="AG30" s="535"/>
      <c r="AH30" s="519"/>
      <c r="AI30" s="534"/>
      <c r="AJ30" s="534"/>
      <c r="AK30" s="534"/>
      <c r="AL30" s="536"/>
      <c r="AM30" s="537"/>
      <c r="AN30" s="536"/>
      <c r="AO30" s="537"/>
      <c r="AP30" s="534"/>
      <c r="AQ30" s="535"/>
      <c r="AR30" s="537"/>
      <c r="AS30" s="536"/>
      <c r="AT30" s="537"/>
      <c r="AU30" s="536"/>
      <c r="AV30" s="534"/>
      <c r="AW30" s="534"/>
      <c r="AX30" s="542"/>
      <c r="AY30" s="543"/>
      <c r="AZ30" s="544"/>
      <c r="BA30" s="543"/>
      <c r="BB30" s="545"/>
      <c r="BC30" s="542"/>
      <c r="BD30" s="542"/>
      <c r="BE30" s="543"/>
      <c r="BF30" s="544"/>
      <c r="BG30" s="543"/>
      <c r="BH30" s="545"/>
      <c r="BI30" s="542"/>
      <c r="BK30" s="1380"/>
      <c r="BL30" s="1380"/>
      <c r="BM30" s="1380"/>
      <c r="BN30" s="1380"/>
    </row>
    <row r="31" spans="1:66" ht="24.75" customHeight="1" x14ac:dyDescent="0.25">
      <c r="A31" s="546" t="s">
        <v>1319</v>
      </c>
      <c r="B31" s="1381">
        <f>'Проверочная  таблица'!B33</f>
        <v>3237576509.8199997</v>
      </c>
      <c r="C31" s="1382">
        <f>'Проверочная  таблица'!D33</f>
        <v>724470268</v>
      </c>
      <c r="D31" s="1381">
        <f>'Проверочная  таблица'!AN33</f>
        <v>745491362.93000007</v>
      </c>
      <c r="E31" s="1382">
        <f>'Проверочная  таблица'!VJ33</f>
        <v>1234917064.8099999</v>
      </c>
      <c r="F31" s="1381">
        <f>'Проверочная  таблица'!WR33</f>
        <v>532697814.08000004</v>
      </c>
      <c r="G31" s="1381"/>
      <c r="H31" s="1365">
        <f t="shared" ref="H31:M32" si="21">B31-N31</f>
        <v>3237576509.8199997</v>
      </c>
      <c r="I31" s="1385">
        <f t="shared" si="21"/>
        <v>724470268</v>
      </c>
      <c r="J31" s="1365">
        <f t="shared" si="21"/>
        <v>745491362.93000007</v>
      </c>
      <c r="K31" s="1385">
        <f t="shared" si="21"/>
        <v>1234917064.8099999</v>
      </c>
      <c r="L31" s="1385">
        <f t="shared" si="21"/>
        <v>532697814.08000004</v>
      </c>
      <c r="M31" s="1365">
        <f t="shared" si="21"/>
        <v>0</v>
      </c>
      <c r="N31" s="1385"/>
      <c r="O31" s="1385"/>
      <c r="P31" s="1365"/>
      <c r="Q31" s="1386"/>
      <c r="R31" s="1381"/>
      <c r="S31" s="1385"/>
      <c r="T31" s="1403"/>
      <c r="U31" s="1398"/>
      <c r="V31" s="1403"/>
      <c r="W31" s="1398"/>
      <c r="X31" s="1399"/>
      <c r="Y31" s="1403"/>
      <c r="Z31" s="1403"/>
      <c r="AA31" s="1398"/>
      <c r="AB31" s="1403"/>
      <c r="AC31" s="1398"/>
      <c r="AD31" s="1399"/>
      <c r="AE31" s="1403"/>
      <c r="AF31" s="1381">
        <f>'Проверочная  таблица'!C33</f>
        <v>1273240438.1300001</v>
      </c>
      <c r="AG31" s="1382">
        <f>'Проверочная  таблица'!E33</f>
        <v>186203389.91</v>
      </c>
      <c r="AH31" s="1383">
        <f>'Проверочная  таблица'!AO33</f>
        <v>254849271.56999999</v>
      </c>
      <c r="AI31" s="1381">
        <f>'Проверочная  таблица'!VM33</f>
        <v>662322344.74000001</v>
      </c>
      <c r="AJ31" s="1385">
        <f>'Проверочная  таблица'!WS33</f>
        <v>169865431.91000003</v>
      </c>
      <c r="AK31" s="1381"/>
      <c r="AL31" s="1365">
        <f t="shared" ref="AL31:AP32" si="22">AF31-AR31</f>
        <v>1273240438.1300001</v>
      </c>
      <c r="AM31" s="1385">
        <f t="shared" si="22"/>
        <v>186203389.91</v>
      </c>
      <c r="AN31" s="1365">
        <f t="shared" si="22"/>
        <v>254849271.56999999</v>
      </c>
      <c r="AO31" s="1385">
        <f t="shared" si="22"/>
        <v>662322344.74000001</v>
      </c>
      <c r="AP31" s="1385">
        <f t="shared" si="22"/>
        <v>169865431.91000003</v>
      </c>
      <c r="AQ31" s="1365"/>
      <c r="AR31" s="1385"/>
      <c r="AS31" s="1365"/>
      <c r="AT31" s="1385"/>
      <c r="AU31" s="1365"/>
      <c r="AV31" s="1385"/>
      <c r="AW31" s="1381"/>
      <c r="AX31" s="1403"/>
      <c r="AY31" s="1398"/>
      <c r="AZ31" s="1403"/>
      <c r="BA31" s="1398"/>
      <c r="BB31" s="1399"/>
      <c r="BC31" s="1403"/>
      <c r="BD31" s="1403"/>
      <c r="BE31" s="1398"/>
      <c r="BF31" s="1403"/>
      <c r="BG31" s="1398"/>
      <c r="BH31" s="1399"/>
      <c r="BI31" s="1403"/>
      <c r="BK31" s="1380">
        <f t="shared" si="10"/>
        <v>2513106.2418200001</v>
      </c>
      <c r="BL31" s="1380">
        <f t="shared" si="11"/>
        <v>2513106.2418200001</v>
      </c>
      <c r="BM31" s="1380">
        <f t="shared" si="12"/>
        <v>0</v>
      </c>
      <c r="BN31" s="1380">
        <f t="shared" si="13"/>
        <v>0</v>
      </c>
    </row>
    <row r="32" spans="1:66" ht="24.75" customHeight="1" thickBot="1" x14ac:dyDescent="0.3">
      <c r="A32" s="534" t="s">
        <v>1320</v>
      </c>
      <c r="B32" s="1381">
        <f>'Проверочная  таблица'!B34</f>
        <v>19391531853.110001</v>
      </c>
      <c r="C32" s="1382">
        <f>'Проверочная  таблица'!D34</f>
        <v>3475440175.3000002</v>
      </c>
      <c r="D32" s="1381">
        <f>'Проверочная  таблица'!AN34</f>
        <v>8066145519.9499998</v>
      </c>
      <c r="E32" s="1382">
        <f>'Проверочная  таблица'!VJ34</f>
        <v>7123069160.2300005</v>
      </c>
      <c r="F32" s="1381">
        <f>'Проверочная  таблица'!WR34</f>
        <v>726876997.63000011</v>
      </c>
      <c r="G32" s="1381"/>
      <c r="H32" s="1365">
        <f t="shared" si="21"/>
        <v>19391531853.110001</v>
      </c>
      <c r="I32" s="1385">
        <f t="shared" si="21"/>
        <v>3475440175.3000002</v>
      </c>
      <c r="J32" s="1365">
        <f t="shared" si="21"/>
        <v>8066145519.9499998</v>
      </c>
      <c r="K32" s="1385">
        <f t="shared" si="21"/>
        <v>7123069160.2300005</v>
      </c>
      <c r="L32" s="1385">
        <f t="shared" si="21"/>
        <v>726876997.63000011</v>
      </c>
      <c r="M32" s="1365">
        <f t="shared" si="21"/>
        <v>0</v>
      </c>
      <c r="N32" s="1385"/>
      <c r="O32" s="1385"/>
      <c r="P32" s="1365"/>
      <c r="Q32" s="1386"/>
      <c r="R32" s="1381"/>
      <c r="S32" s="1385"/>
      <c r="T32" s="1403"/>
      <c r="U32" s="1398"/>
      <c r="V32" s="1403"/>
      <c r="W32" s="1398"/>
      <c r="X32" s="1399"/>
      <c r="Y32" s="1403"/>
      <c r="Z32" s="1403"/>
      <c r="AA32" s="1398"/>
      <c r="AB32" s="1403"/>
      <c r="AC32" s="1398"/>
      <c r="AD32" s="1399"/>
      <c r="AE32" s="1403"/>
      <c r="AF32" s="1381">
        <f>'Проверочная  таблица'!C34</f>
        <v>8309889365.6499996</v>
      </c>
      <c r="AG32" s="1382">
        <f>'Проверочная  таблица'!E34</f>
        <v>1451490356</v>
      </c>
      <c r="AH32" s="1383">
        <f>'Проверочная  таблица'!AO34</f>
        <v>2653802031.7399998</v>
      </c>
      <c r="AI32" s="1381">
        <f>'Проверочная  таблица'!VM34</f>
        <v>3916105113.75</v>
      </c>
      <c r="AJ32" s="1385">
        <f>'Проверочная  таблица'!WS34</f>
        <v>288491864.16000003</v>
      </c>
      <c r="AK32" s="1381"/>
      <c r="AL32" s="1365">
        <f t="shared" si="22"/>
        <v>8309889365.6499996</v>
      </c>
      <c r="AM32" s="1385">
        <f t="shared" si="22"/>
        <v>1451490356</v>
      </c>
      <c r="AN32" s="1365">
        <f t="shared" si="22"/>
        <v>2653802031.7399998</v>
      </c>
      <c r="AO32" s="1385">
        <f t="shared" si="22"/>
        <v>3916105113.75</v>
      </c>
      <c r="AP32" s="1385">
        <f t="shared" si="22"/>
        <v>288491864.16000003</v>
      </c>
      <c r="AQ32" s="1365"/>
      <c r="AR32" s="1385"/>
      <c r="AS32" s="1365"/>
      <c r="AT32" s="1385"/>
      <c r="AU32" s="1365"/>
      <c r="AV32" s="1385"/>
      <c r="AW32" s="1381"/>
      <c r="AX32" s="1403"/>
      <c r="AY32" s="1398"/>
      <c r="AZ32" s="1403"/>
      <c r="BA32" s="1398"/>
      <c r="BB32" s="1399"/>
      <c r="BC32" s="1403"/>
      <c r="BD32" s="1403"/>
      <c r="BE32" s="1398"/>
      <c r="BF32" s="1403"/>
      <c r="BG32" s="1398"/>
      <c r="BH32" s="1399"/>
      <c r="BI32" s="1403"/>
      <c r="BK32" s="1380">
        <f t="shared" si="10"/>
        <v>15916091.677810002</v>
      </c>
      <c r="BL32" s="1380">
        <f t="shared" si="11"/>
        <v>15916091.677810002</v>
      </c>
      <c r="BM32" s="1380">
        <f t="shared" si="12"/>
        <v>0</v>
      </c>
      <c r="BN32" s="1380">
        <f t="shared" si="13"/>
        <v>0</v>
      </c>
    </row>
    <row r="33" spans="1:66" ht="24.75" customHeight="1" thickBot="1" x14ac:dyDescent="0.3">
      <c r="A33" s="1101" t="s">
        <v>339</v>
      </c>
      <c r="B33" s="547">
        <f t="shared" ref="B33:BI33" si="23">SUM(B31:B32)</f>
        <v>22629108362.93</v>
      </c>
      <c r="C33" s="548">
        <f t="shared" si="23"/>
        <v>4199910443.3000002</v>
      </c>
      <c r="D33" s="547">
        <f>SUM(D31:D32)</f>
        <v>8811636882.8799992</v>
      </c>
      <c r="E33" s="548">
        <f t="shared" si="23"/>
        <v>8357986225.0400009</v>
      </c>
      <c r="F33" s="547">
        <f t="shared" si="23"/>
        <v>1259574811.71</v>
      </c>
      <c r="G33" s="547">
        <f t="shared" si="23"/>
        <v>0</v>
      </c>
      <c r="H33" s="548">
        <f t="shared" si="23"/>
        <v>22629108362.93</v>
      </c>
      <c r="I33" s="547">
        <f>SUM(I31:I32)</f>
        <v>4199910443.3000002</v>
      </c>
      <c r="J33" s="548">
        <f>SUM(J31:J32)</f>
        <v>8811636882.8799992</v>
      </c>
      <c r="K33" s="547">
        <f t="shared" si="23"/>
        <v>8357986225.0400009</v>
      </c>
      <c r="L33" s="547">
        <f t="shared" si="23"/>
        <v>1259574811.71</v>
      </c>
      <c r="M33" s="548">
        <f t="shared" si="23"/>
        <v>0</v>
      </c>
      <c r="N33" s="547">
        <f t="shared" si="23"/>
        <v>0</v>
      </c>
      <c r="O33" s="548">
        <f t="shared" si="23"/>
        <v>0</v>
      </c>
      <c r="P33" s="528">
        <f>SUM(P31:P32)</f>
        <v>0</v>
      </c>
      <c r="Q33" s="548">
        <f t="shared" si="23"/>
        <v>0</v>
      </c>
      <c r="R33" s="547">
        <f t="shared" si="23"/>
        <v>0</v>
      </c>
      <c r="S33" s="547">
        <f t="shared" si="23"/>
        <v>0</v>
      </c>
      <c r="T33" s="549">
        <f t="shared" si="23"/>
        <v>0</v>
      </c>
      <c r="U33" s="550">
        <f t="shared" si="23"/>
        <v>0</v>
      </c>
      <c r="V33" s="549">
        <f t="shared" si="23"/>
        <v>0</v>
      </c>
      <c r="W33" s="550">
        <f t="shared" si="23"/>
        <v>0</v>
      </c>
      <c r="X33" s="549">
        <f t="shared" si="23"/>
        <v>0</v>
      </c>
      <c r="Y33" s="549">
        <f t="shared" si="23"/>
        <v>0</v>
      </c>
      <c r="Z33" s="549">
        <f t="shared" si="23"/>
        <v>0</v>
      </c>
      <c r="AA33" s="550">
        <f t="shared" si="23"/>
        <v>0</v>
      </c>
      <c r="AB33" s="549">
        <f t="shared" si="23"/>
        <v>0</v>
      </c>
      <c r="AC33" s="550">
        <f t="shared" si="23"/>
        <v>0</v>
      </c>
      <c r="AD33" s="549">
        <f t="shared" si="23"/>
        <v>0</v>
      </c>
      <c r="AE33" s="549">
        <f t="shared" si="23"/>
        <v>0</v>
      </c>
      <c r="AF33" s="547">
        <f t="shared" si="23"/>
        <v>9583129803.7799988</v>
      </c>
      <c r="AG33" s="548">
        <f t="shared" si="23"/>
        <v>1637693745.9100001</v>
      </c>
      <c r="AH33" s="551">
        <f>SUM(AH31:AH32)</f>
        <v>2908651303.3099999</v>
      </c>
      <c r="AI33" s="528">
        <f t="shared" si="23"/>
        <v>4578427458.4899998</v>
      </c>
      <c r="AJ33" s="547">
        <f t="shared" si="23"/>
        <v>458357296.07000005</v>
      </c>
      <c r="AK33" s="547">
        <f t="shared" si="23"/>
        <v>0</v>
      </c>
      <c r="AL33" s="548">
        <f t="shared" si="23"/>
        <v>9583129803.7799988</v>
      </c>
      <c r="AM33" s="547">
        <f>SUM(AM31:AM32)</f>
        <v>1637693745.9100001</v>
      </c>
      <c r="AN33" s="548">
        <f>SUM(AN31:AN32)</f>
        <v>2908651303.3099999</v>
      </c>
      <c r="AO33" s="547">
        <f t="shared" si="23"/>
        <v>4578427458.4899998</v>
      </c>
      <c r="AP33" s="547">
        <f t="shared" si="23"/>
        <v>458357296.07000005</v>
      </c>
      <c r="AQ33" s="548">
        <f t="shared" si="23"/>
        <v>0</v>
      </c>
      <c r="AR33" s="547">
        <f t="shared" si="23"/>
        <v>0</v>
      </c>
      <c r="AS33" s="548">
        <f t="shared" si="23"/>
        <v>0</v>
      </c>
      <c r="AT33" s="547">
        <f>SUM(AT31:AT32)</f>
        <v>0</v>
      </c>
      <c r="AU33" s="548">
        <f t="shared" si="23"/>
        <v>0</v>
      </c>
      <c r="AV33" s="547">
        <f t="shared" si="23"/>
        <v>0</v>
      </c>
      <c r="AW33" s="547">
        <f t="shared" si="23"/>
        <v>0</v>
      </c>
      <c r="AX33" s="549">
        <f t="shared" si="23"/>
        <v>0</v>
      </c>
      <c r="AY33" s="550">
        <f t="shared" si="23"/>
        <v>0</v>
      </c>
      <c r="AZ33" s="549">
        <f t="shared" si="23"/>
        <v>0</v>
      </c>
      <c r="BA33" s="550">
        <f t="shared" si="23"/>
        <v>0</v>
      </c>
      <c r="BB33" s="549">
        <f t="shared" si="23"/>
        <v>0</v>
      </c>
      <c r="BC33" s="549">
        <f t="shared" si="23"/>
        <v>0</v>
      </c>
      <c r="BD33" s="549">
        <f t="shared" si="23"/>
        <v>0</v>
      </c>
      <c r="BE33" s="550">
        <f t="shared" si="23"/>
        <v>0</v>
      </c>
      <c r="BF33" s="549">
        <f t="shared" si="23"/>
        <v>0</v>
      </c>
      <c r="BG33" s="550">
        <f t="shared" si="23"/>
        <v>0</v>
      </c>
      <c r="BH33" s="549">
        <f t="shared" si="23"/>
        <v>0</v>
      </c>
      <c r="BI33" s="549">
        <f t="shared" si="23"/>
        <v>0</v>
      </c>
      <c r="BK33" s="1380">
        <f t="shared" si="10"/>
        <v>18429197.919630002</v>
      </c>
      <c r="BL33" s="1380">
        <f t="shared" si="11"/>
        <v>18429197.919630002</v>
      </c>
      <c r="BM33" s="1380">
        <f t="shared" si="12"/>
        <v>0</v>
      </c>
      <c r="BN33" s="1380">
        <f t="shared" si="13"/>
        <v>0</v>
      </c>
    </row>
    <row r="34" spans="1:66" ht="24.75" customHeight="1" thickBot="1" x14ac:dyDescent="0.3">
      <c r="A34" s="1102"/>
      <c r="B34" s="552"/>
      <c r="C34" s="553"/>
      <c r="D34" s="552"/>
      <c r="E34" s="553"/>
      <c r="F34" s="552"/>
      <c r="G34" s="552"/>
      <c r="H34" s="554"/>
      <c r="I34" s="555"/>
      <c r="J34" s="554"/>
      <c r="K34" s="555"/>
      <c r="L34" s="555"/>
      <c r="M34" s="554"/>
      <c r="N34" s="555"/>
      <c r="O34" s="554"/>
      <c r="P34" s="555"/>
      <c r="Q34" s="554"/>
      <c r="R34" s="552"/>
      <c r="S34" s="555"/>
      <c r="T34" s="556"/>
      <c r="U34" s="557"/>
      <c r="V34" s="556"/>
      <c r="W34" s="557"/>
      <c r="X34" s="558"/>
      <c r="Y34" s="556"/>
      <c r="Z34" s="556"/>
      <c r="AA34" s="557"/>
      <c r="AB34" s="556"/>
      <c r="AC34" s="557"/>
      <c r="AD34" s="558"/>
      <c r="AE34" s="556"/>
      <c r="AF34" s="552"/>
      <c r="AG34" s="553"/>
      <c r="AH34" s="552"/>
      <c r="AI34" s="553"/>
      <c r="AJ34" s="552"/>
      <c r="AK34" s="552"/>
      <c r="AL34" s="554"/>
      <c r="AM34" s="555"/>
      <c r="AN34" s="554"/>
      <c r="AO34" s="555"/>
      <c r="AP34" s="552"/>
      <c r="AQ34" s="553"/>
      <c r="AR34" s="555"/>
      <c r="AS34" s="554"/>
      <c r="AT34" s="555"/>
      <c r="AU34" s="554"/>
      <c r="AV34" s="552"/>
      <c r="AW34" s="552"/>
      <c r="AX34" s="556"/>
      <c r="AY34" s="557"/>
      <c r="AZ34" s="556"/>
      <c r="BA34" s="557"/>
      <c r="BB34" s="558"/>
      <c r="BC34" s="556"/>
      <c r="BD34" s="556"/>
      <c r="BE34" s="557"/>
      <c r="BF34" s="556"/>
      <c r="BG34" s="557"/>
      <c r="BH34" s="558"/>
      <c r="BI34" s="556"/>
      <c r="BK34" s="1380"/>
      <c r="BL34" s="1380"/>
      <c r="BM34" s="1380"/>
      <c r="BN34" s="1380"/>
    </row>
    <row r="35" spans="1:66" ht="24.75" customHeight="1" thickBot="1" x14ac:dyDescent="0.3">
      <c r="A35" s="1103"/>
      <c r="B35" s="559"/>
      <c r="C35" s="560"/>
      <c r="D35" s="1423"/>
      <c r="E35" s="1424">
        <f>SUM(D36:F36)</f>
        <v>37488109634.199997</v>
      </c>
      <c r="F35" s="1425"/>
      <c r="G35" s="559"/>
      <c r="H35" s="561"/>
      <c r="I35" s="562"/>
      <c r="J35" s="1423"/>
      <c r="K35" s="1424">
        <f>SUM(J36:L36)</f>
        <v>35317524413.389999</v>
      </c>
      <c r="L35" s="1425"/>
      <c r="M35" s="561"/>
      <c r="N35" s="562"/>
      <c r="O35" s="561"/>
      <c r="P35" s="1423"/>
      <c r="Q35" s="1424">
        <f>SUM(P36:R36)</f>
        <v>2170585220.8100004</v>
      </c>
      <c r="R35" s="1425"/>
      <c r="S35" s="562"/>
      <c r="T35" s="563"/>
      <c r="U35" s="564"/>
      <c r="V35" s="1423"/>
      <c r="W35" s="1424">
        <f>SUM(V36:X36)</f>
        <v>746687207.42999995</v>
      </c>
      <c r="X35" s="1425"/>
      <c r="Y35" s="563"/>
      <c r="Z35" s="563"/>
      <c r="AA35" s="564"/>
      <c r="AB35" s="1423"/>
      <c r="AC35" s="1424">
        <f>SUM(AB36:AD36)</f>
        <v>1423898013.3799996</v>
      </c>
      <c r="AD35" s="1425"/>
      <c r="AE35" s="1039"/>
      <c r="AF35" s="559"/>
      <c r="AG35" s="560"/>
      <c r="AH35" s="1423"/>
      <c r="AI35" s="1424">
        <f>SUM(AH36:AJ36)</f>
        <v>15218471150.920002</v>
      </c>
      <c r="AJ35" s="1425"/>
      <c r="AK35" s="559"/>
      <c r="AL35" s="561"/>
      <c r="AM35" s="562"/>
      <c r="AN35" s="1423"/>
      <c r="AO35" s="1424">
        <f>SUM(AN36:AP36)</f>
        <v>14629844416.799999</v>
      </c>
      <c r="AP35" s="1425"/>
      <c r="AQ35" s="560"/>
      <c r="AR35" s="562"/>
      <c r="AS35" s="561"/>
      <c r="AT35" s="1423"/>
      <c r="AU35" s="1424">
        <f>SUM(AT36:AV36)</f>
        <v>588626734.12</v>
      </c>
      <c r="AV35" s="1425"/>
      <c r="AW35" s="559"/>
      <c r="AX35" s="563"/>
      <c r="AY35" s="564"/>
      <c r="AZ35" s="1423"/>
      <c r="BA35" s="1424">
        <f>SUM(AZ36:BB36)</f>
        <v>131039951.77</v>
      </c>
      <c r="BB35" s="1425"/>
      <c r="BC35" s="563"/>
      <c r="BD35" s="563"/>
      <c r="BE35" s="564"/>
      <c r="BF35" s="1423"/>
      <c r="BG35" s="1424">
        <f>SUM(BF36:BH36)</f>
        <v>457586782.35000002</v>
      </c>
      <c r="BH35" s="1425"/>
      <c r="BI35" s="563"/>
      <c r="BK35" s="1380"/>
      <c r="BL35" s="1380"/>
      <c r="BM35" s="1380"/>
      <c r="BN35" s="1380"/>
    </row>
    <row r="36" spans="1:66" ht="24.75" customHeight="1" thickBot="1" x14ac:dyDescent="0.3">
      <c r="A36" s="1101" t="s">
        <v>8</v>
      </c>
      <c r="B36" s="565">
        <f t="shared" ref="B36:BI36" si="24">B29+B33</f>
        <v>45228557265.040009</v>
      </c>
      <c r="C36" s="566">
        <f t="shared" si="24"/>
        <v>7740447630.8400011</v>
      </c>
      <c r="D36" s="565">
        <f t="shared" si="24"/>
        <v>17948425365.669998</v>
      </c>
      <c r="E36" s="566">
        <f t="shared" si="24"/>
        <v>16481127177.010002</v>
      </c>
      <c r="F36" s="565">
        <f t="shared" si="24"/>
        <v>3058557091.5199995</v>
      </c>
      <c r="G36" s="565">
        <f t="shared" si="24"/>
        <v>0</v>
      </c>
      <c r="H36" s="566">
        <f t="shared" si="24"/>
        <v>41303949821.690002</v>
      </c>
      <c r="I36" s="565">
        <f t="shared" si="24"/>
        <v>5986425408.3000002</v>
      </c>
      <c r="J36" s="566">
        <f t="shared" si="24"/>
        <v>16453370592.289999</v>
      </c>
      <c r="K36" s="565">
        <f t="shared" si="24"/>
        <v>16444157877.010002</v>
      </c>
      <c r="L36" s="565">
        <f t="shared" si="24"/>
        <v>2419995944.0900002</v>
      </c>
      <c r="M36" s="566">
        <f t="shared" si="24"/>
        <v>0</v>
      </c>
      <c r="N36" s="565">
        <f t="shared" si="24"/>
        <v>3924607443.3499994</v>
      </c>
      <c r="O36" s="566">
        <f t="shared" si="24"/>
        <v>1754022222.5400002</v>
      </c>
      <c r="P36" s="565">
        <f t="shared" si="24"/>
        <v>1495054773.3800001</v>
      </c>
      <c r="Q36" s="566">
        <f t="shared" si="24"/>
        <v>36969300</v>
      </c>
      <c r="R36" s="565">
        <f t="shared" si="24"/>
        <v>638561147.43000007</v>
      </c>
      <c r="S36" s="565">
        <f t="shared" si="24"/>
        <v>0</v>
      </c>
      <c r="T36" s="567">
        <f t="shared" si="24"/>
        <v>1799347374.5100005</v>
      </c>
      <c r="U36" s="568">
        <f t="shared" si="24"/>
        <v>1052660167.0800002</v>
      </c>
      <c r="V36" s="567">
        <f t="shared" si="24"/>
        <v>377249160.38</v>
      </c>
      <c r="W36" s="568">
        <f t="shared" si="24"/>
        <v>36969300</v>
      </c>
      <c r="X36" s="567">
        <f t="shared" si="24"/>
        <v>332468747.04999995</v>
      </c>
      <c r="Y36" s="567">
        <f t="shared" si="24"/>
        <v>0</v>
      </c>
      <c r="Z36" s="567">
        <f t="shared" si="24"/>
        <v>2125260068.8399999</v>
      </c>
      <c r="AA36" s="568">
        <f t="shared" si="24"/>
        <v>701362055.46000004</v>
      </c>
      <c r="AB36" s="1040">
        <f t="shared" si="24"/>
        <v>1117805612.9999998</v>
      </c>
      <c r="AC36" s="1041">
        <f t="shared" si="24"/>
        <v>0</v>
      </c>
      <c r="AD36" s="1040">
        <f t="shared" si="24"/>
        <v>306092400.38</v>
      </c>
      <c r="AE36" s="567">
        <f t="shared" si="24"/>
        <v>0</v>
      </c>
      <c r="AF36" s="565">
        <f t="shared" si="24"/>
        <v>18438567515.25</v>
      </c>
      <c r="AG36" s="566">
        <f t="shared" si="24"/>
        <v>3220096364.3299999</v>
      </c>
      <c r="AH36" s="565">
        <f t="shared" si="24"/>
        <v>4780298780.6100006</v>
      </c>
      <c r="AI36" s="566">
        <f t="shared" si="24"/>
        <v>9430506913.5100002</v>
      </c>
      <c r="AJ36" s="565">
        <f t="shared" si="24"/>
        <v>1007665456.8000002</v>
      </c>
      <c r="AK36" s="565">
        <f t="shared" si="24"/>
        <v>0</v>
      </c>
      <c r="AL36" s="566">
        <f t="shared" si="24"/>
        <v>17066772199.709999</v>
      </c>
      <c r="AM36" s="565">
        <f t="shared" si="24"/>
        <v>2436927782.9099998</v>
      </c>
      <c r="AN36" s="566">
        <f t="shared" si="24"/>
        <v>4305626938.8800011</v>
      </c>
      <c r="AO36" s="565">
        <f t="shared" si="24"/>
        <v>9415545283.7799988</v>
      </c>
      <c r="AP36" s="565">
        <f t="shared" si="24"/>
        <v>908672194.1400001</v>
      </c>
      <c r="AQ36" s="566">
        <f t="shared" si="24"/>
        <v>0</v>
      </c>
      <c r="AR36" s="565">
        <f t="shared" si="24"/>
        <v>1371795315.5399997</v>
      </c>
      <c r="AS36" s="566">
        <f t="shared" si="24"/>
        <v>783168581.42000008</v>
      </c>
      <c r="AT36" s="565">
        <f t="shared" si="24"/>
        <v>474671841.72999996</v>
      </c>
      <c r="AU36" s="566">
        <f t="shared" si="24"/>
        <v>14961629.73</v>
      </c>
      <c r="AV36" s="565">
        <f t="shared" si="24"/>
        <v>98993262.659999996</v>
      </c>
      <c r="AW36" s="565">
        <f t="shared" si="24"/>
        <v>0</v>
      </c>
      <c r="AX36" s="567">
        <f t="shared" si="24"/>
        <v>634293895.19000006</v>
      </c>
      <c r="AY36" s="568">
        <f t="shared" si="24"/>
        <v>503253943.41999996</v>
      </c>
      <c r="AZ36" s="567">
        <f t="shared" si="24"/>
        <v>84979530.279999986</v>
      </c>
      <c r="BA36" s="568">
        <f t="shared" si="24"/>
        <v>14961629.73</v>
      </c>
      <c r="BB36" s="567">
        <f t="shared" si="24"/>
        <v>31098791.760000005</v>
      </c>
      <c r="BC36" s="567">
        <f t="shared" si="24"/>
        <v>0</v>
      </c>
      <c r="BD36" s="567">
        <f t="shared" si="24"/>
        <v>737501420.35000002</v>
      </c>
      <c r="BE36" s="568">
        <f t="shared" si="24"/>
        <v>279914638</v>
      </c>
      <c r="BF36" s="567">
        <f t="shared" si="24"/>
        <v>389692311.44999999</v>
      </c>
      <c r="BG36" s="568">
        <f t="shared" si="24"/>
        <v>0</v>
      </c>
      <c r="BH36" s="567">
        <f t="shared" si="24"/>
        <v>67894470.900000006</v>
      </c>
      <c r="BI36" s="567">
        <f t="shared" si="24"/>
        <v>0</v>
      </c>
      <c r="BK36" s="1380">
        <f t="shared" si="10"/>
        <v>37488109.634199999</v>
      </c>
      <c r="BL36" s="1380">
        <f t="shared" si="11"/>
        <v>35317524.413389996</v>
      </c>
      <c r="BM36" s="1380">
        <f t="shared" si="12"/>
        <v>746687.20742999995</v>
      </c>
      <c r="BN36" s="1380">
        <f t="shared" si="13"/>
        <v>1423898.0133799997</v>
      </c>
    </row>
    <row r="37" spans="1:66" x14ac:dyDescent="0.25">
      <c r="B37" s="1426">
        <f>B36-C36-E36-D36-G36-F36</f>
        <v>4.76837158203125E-6</v>
      </c>
      <c r="E37" s="1426"/>
      <c r="H37" s="1426">
        <f>H36-I36-K36-J36-M36-L36</f>
        <v>0</v>
      </c>
      <c r="K37" s="1426"/>
      <c r="N37" s="1426">
        <f>N36-O36-Q36-P36-S36-R36</f>
        <v>0</v>
      </c>
      <c r="Q37" s="1426"/>
      <c r="Z37" s="1427">
        <f>SUM(AA37:AE37)</f>
        <v>0</v>
      </c>
      <c r="AA37" s="1427">
        <f>AA36-'Проверочная  таблица'!D53</f>
        <v>0</v>
      </c>
      <c r="AB37" s="1427">
        <f>AB36-'Проверочная  таблица'!AN53</f>
        <v>0</v>
      </c>
      <c r="AC37" s="1427">
        <f>AC36-'Проверочная  таблица'!VJ53</f>
        <v>0</v>
      </c>
      <c r="AD37" s="1427">
        <f>AD36-'Проверочная  таблица'!WR53</f>
        <v>0</v>
      </c>
      <c r="AE37" s="1427"/>
      <c r="AF37" s="1426">
        <f>AF36-AG36-AI36-AH36-AK36-AJ36</f>
        <v>-9.5367431640625E-7</v>
      </c>
      <c r="AI37" s="1426"/>
      <c r="AL37" s="1426">
        <f>AL36-AM36-AO36-AN36-AQ36-AP36</f>
        <v>0</v>
      </c>
      <c r="AO37" s="1426"/>
      <c r="AR37" s="1426">
        <f>AR36-AS36-AU36-AT36-AW36-AV36</f>
        <v>-3.2782554626464844E-7</v>
      </c>
      <c r="AU37" s="1426"/>
      <c r="BD37" s="1427">
        <f>SUM(BE37:BI37)</f>
        <v>0</v>
      </c>
      <c r="BE37" s="1427">
        <f>BE36-'Проверочная  таблица'!E53</f>
        <v>0</v>
      </c>
      <c r="BF37" s="1427">
        <f>BF36-'Проверочная  таблица'!AO53</f>
        <v>0</v>
      </c>
      <c r="BG37" s="1427">
        <f>BG36-'Проверочная  таблица'!VM53</f>
        <v>0</v>
      </c>
      <c r="BH37" s="1427">
        <f>BH36-'Проверочная  таблица'!WS53</f>
        <v>0</v>
      </c>
      <c r="BI37" s="1427"/>
    </row>
    <row r="38" spans="1:66" x14ac:dyDescent="0.25">
      <c r="B38" s="1426"/>
      <c r="E38" s="1428"/>
      <c r="H38" s="1426">
        <f>H36-'Проверочная  таблица'!B51-'Проверочная  таблица'!B50</f>
        <v>0</v>
      </c>
      <c r="N38" s="1426">
        <f>N36-'Проверочная  таблица'!B52</f>
        <v>0</v>
      </c>
      <c r="AB38" s="1429">
        <f>AB36-[1]Субсидия_факт!$I$35</f>
        <v>203471975.51999962</v>
      </c>
      <c r="AF38" s="1426"/>
      <c r="AL38" s="1426">
        <f>AL36-'Проверочная  таблица'!C51-'Проверочная  таблица'!C50</f>
        <v>0</v>
      </c>
      <c r="AR38" s="1426">
        <f>AR36-'Проверочная  таблица'!C52</f>
        <v>0</v>
      </c>
    </row>
    <row r="39" spans="1:66" x14ac:dyDescent="0.25">
      <c r="A39" s="569" t="s">
        <v>762</v>
      </c>
      <c r="B39" s="1430">
        <f>B29-B40</f>
        <v>18395841374.120003</v>
      </c>
      <c r="C39" s="1430">
        <f t="shared" ref="C39:BH39" si="25">C29-C40</f>
        <v>2834338435.5400009</v>
      </c>
      <c r="D39" s="1430">
        <f t="shared" si="25"/>
        <v>7158482430.5400009</v>
      </c>
      <c r="E39" s="1430">
        <f t="shared" si="25"/>
        <v>6886163908.8100004</v>
      </c>
      <c r="F39" s="1430">
        <f t="shared" si="25"/>
        <v>1516856599.2299998</v>
      </c>
      <c r="G39" s="1430">
        <f t="shared" si="25"/>
        <v>0</v>
      </c>
      <c r="H39" s="1430">
        <f t="shared" si="25"/>
        <v>14478206372.379997</v>
      </c>
      <c r="I39" s="1430">
        <f t="shared" si="25"/>
        <v>1080316213</v>
      </c>
      <c r="J39" s="1430">
        <f t="shared" si="25"/>
        <v>5670400098.7699995</v>
      </c>
      <c r="K39" s="1430">
        <f t="shared" si="25"/>
        <v>6849194608.8100004</v>
      </c>
      <c r="L39" s="1430">
        <f t="shared" si="25"/>
        <v>878295451.79999995</v>
      </c>
      <c r="M39" s="1430">
        <f t="shared" si="25"/>
        <v>0</v>
      </c>
      <c r="N39" s="1430">
        <f t="shared" si="25"/>
        <v>3917635001.7399993</v>
      </c>
      <c r="O39" s="1430">
        <f t="shared" si="25"/>
        <v>1754022222.5400002</v>
      </c>
      <c r="P39" s="1430">
        <f t="shared" si="25"/>
        <v>1488082331.7700002</v>
      </c>
      <c r="Q39" s="1430">
        <f t="shared" si="25"/>
        <v>36969300</v>
      </c>
      <c r="R39" s="1430">
        <f t="shared" si="25"/>
        <v>638561147.43000007</v>
      </c>
      <c r="S39" s="1430">
        <f t="shared" si="25"/>
        <v>0</v>
      </c>
      <c r="T39" s="1430">
        <f t="shared" si="25"/>
        <v>1799599052.5900004</v>
      </c>
      <c r="U39" s="1430">
        <f t="shared" si="25"/>
        <v>1052660167.0800002</v>
      </c>
      <c r="V39" s="1430">
        <f t="shared" si="25"/>
        <v>377500838.45999998</v>
      </c>
      <c r="W39" s="1430">
        <f t="shared" si="25"/>
        <v>36969300</v>
      </c>
      <c r="X39" s="1430">
        <f t="shared" si="25"/>
        <v>332468747.04999995</v>
      </c>
      <c r="Y39" s="1430">
        <f t="shared" si="25"/>
        <v>0</v>
      </c>
      <c r="Z39" s="1430">
        <f t="shared" si="25"/>
        <v>2118035949.1499999</v>
      </c>
      <c r="AA39" s="1430">
        <f t="shared" si="25"/>
        <v>701362055.46000004</v>
      </c>
      <c r="AB39" s="1430">
        <f t="shared" si="25"/>
        <v>1110581493.3099997</v>
      </c>
      <c r="AC39" s="1430">
        <f t="shared" si="25"/>
        <v>0</v>
      </c>
      <c r="AD39" s="1430">
        <f t="shared" si="25"/>
        <v>306092400.38</v>
      </c>
      <c r="AE39" s="1430">
        <f t="shared" si="25"/>
        <v>0</v>
      </c>
      <c r="AF39" s="1430">
        <f t="shared" si="25"/>
        <v>7325755024.2199993</v>
      </c>
      <c r="AG39" s="1430">
        <f t="shared" si="25"/>
        <v>1261100618.4200001</v>
      </c>
      <c r="AH39" s="1430">
        <f t="shared" si="25"/>
        <v>1397256662.5600002</v>
      </c>
      <c r="AI39" s="1430">
        <f t="shared" si="25"/>
        <v>4191685953.8000002</v>
      </c>
      <c r="AJ39" s="1430">
        <f t="shared" si="25"/>
        <v>475711789.44000012</v>
      </c>
      <c r="AK39" s="1430">
        <f t="shared" si="25"/>
        <v>0</v>
      </c>
      <c r="AL39" s="1430">
        <f t="shared" si="25"/>
        <v>5953959708.6799994</v>
      </c>
      <c r="AM39" s="1430">
        <f t="shared" si="25"/>
        <v>477932037</v>
      </c>
      <c r="AN39" s="1430">
        <f t="shared" si="25"/>
        <v>922584820.83000064</v>
      </c>
      <c r="AO39" s="1430">
        <f t="shared" si="25"/>
        <v>4176724324.0699997</v>
      </c>
      <c r="AP39" s="1430">
        <f t="shared" si="25"/>
        <v>376718526.77999997</v>
      </c>
      <c r="AQ39" s="1430">
        <f t="shared" si="25"/>
        <v>0</v>
      </c>
      <c r="AR39" s="1430">
        <f t="shared" si="25"/>
        <v>1371795315.5399997</v>
      </c>
      <c r="AS39" s="1430">
        <f t="shared" si="25"/>
        <v>783168581.42000008</v>
      </c>
      <c r="AT39" s="1430">
        <f t="shared" si="25"/>
        <v>474671841.72999996</v>
      </c>
      <c r="AU39" s="1430">
        <f t="shared" si="25"/>
        <v>14961629.73</v>
      </c>
      <c r="AV39" s="1430">
        <f t="shared" si="25"/>
        <v>98993262.659999996</v>
      </c>
      <c r="AW39" s="1430">
        <f t="shared" si="25"/>
        <v>0</v>
      </c>
      <c r="AX39" s="1430">
        <f t="shared" si="25"/>
        <v>634293895.19000006</v>
      </c>
      <c r="AY39" s="1430">
        <f t="shared" si="25"/>
        <v>503253943.41999996</v>
      </c>
      <c r="AZ39" s="1430">
        <f t="shared" si="25"/>
        <v>84979530.279999986</v>
      </c>
      <c r="BA39" s="1430">
        <f t="shared" si="25"/>
        <v>14961629.73</v>
      </c>
      <c r="BB39" s="1430">
        <f t="shared" si="25"/>
        <v>31098791.760000005</v>
      </c>
      <c r="BC39" s="1430">
        <f t="shared" si="25"/>
        <v>0</v>
      </c>
      <c r="BD39" s="1430">
        <f t="shared" si="25"/>
        <v>737501420.35000002</v>
      </c>
      <c r="BE39" s="1430">
        <f t="shared" si="25"/>
        <v>279914638</v>
      </c>
      <c r="BF39" s="1430">
        <f t="shared" si="25"/>
        <v>389692311.44999999</v>
      </c>
      <c r="BG39" s="1430">
        <f t="shared" si="25"/>
        <v>0</v>
      </c>
      <c r="BH39" s="1430">
        <f t="shared" si="25"/>
        <v>67894470.900000006</v>
      </c>
    </row>
    <row r="40" spans="1:66" x14ac:dyDescent="0.25">
      <c r="A40" s="570" t="s">
        <v>763</v>
      </c>
      <c r="B40" s="1431">
        <f>B11+B15+B19+B24</f>
        <v>4203607527.9899998</v>
      </c>
      <c r="C40" s="1431">
        <f t="shared" ref="C40:BH40" si="26">C11+C15+C19+C24</f>
        <v>706198752</v>
      </c>
      <c r="D40" s="1431">
        <f t="shared" si="26"/>
        <v>1978306052.2500002</v>
      </c>
      <c r="E40" s="1431">
        <f t="shared" si="26"/>
        <v>1236977043.1599998</v>
      </c>
      <c r="F40" s="1431">
        <f t="shared" si="26"/>
        <v>282125680.57999998</v>
      </c>
      <c r="G40" s="1431">
        <f t="shared" si="26"/>
        <v>0</v>
      </c>
      <c r="H40" s="1431">
        <f t="shared" si="26"/>
        <v>4196635086.3800001</v>
      </c>
      <c r="I40" s="1431">
        <f t="shared" si="26"/>
        <v>706198752</v>
      </c>
      <c r="J40" s="1431">
        <f t="shared" si="26"/>
        <v>1971333610.6400003</v>
      </c>
      <c r="K40" s="1431">
        <f t="shared" si="26"/>
        <v>1236977043.1599998</v>
      </c>
      <c r="L40" s="1431">
        <f t="shared" si="26"/>
        <v>282125680.57999998</v>
      </c>
      <c r="M40" s="1431">
        <f t="shared" si="26"/>
        <v>0</v>
      </c>
      <c r="N40" s="1431">
        <f t="shared" si="26"/>
        <v>6972441.6099999994</v>
      </c>
      <c r="O40" s="1431">
        <f t="shared" si="26"/>
        <v>0</v>
      </c>
      <c r="P40" s="1431">
        <f t="shared" si="26"/>
        <v>6972441.6099999994</v>
      </c>
      <c r="Q40" s="1431">
        <f t="shared" si="26"/>
        <v>0</v>
      </c>
      <c r="R40" s="1431">
        <f t="shared" si="26"/>
        <v>0</v>
      </c>
      <c r="S40" s="1431">
        <f t="shared" si="26"/>
        <v>0</v>
      </c>
      <c r="T40" s="1431">
        <f t="shared" si="26"/>
        <v>-251678.08000000101</v>
      </c>
      <c r="U40" s="1431">
        <f t="shared" si="26"/>
        <v>0</v>
      </c>
      <c r="V40" s="1431">
        <f t="shared" si="26"/>
        <v>-251678.08000000101</v>
      </c>
      <c r="W40" s="1431">
        <f t="shared" si="26"/>
        <v>0</v>
      </c>
      <c r="X40" s="1431">
        <f t="shared" si="26"/>
        <v>0</v>
      </c>
      <c r="Y40" s="1431">
        <f t="shared" si="26"/>
        <v>0</v>
      </c>
      <c r="Z40" s="1431">
        <f t="shared" si="26"/>
        <v>7224119.6900000004</v>
      </c>
      <c r="AA40" s="1431">
        <f t="shared" si="26"/>
        <v>0</v>
      </c>
      <c r="AB40" s="1431">
        <f t="shared" si="26"/>
        <v>7224119.6900000004</v>
      </c>
      <c r="AC40" s="1431">
        <f t="shared" si="26"/>
        <v>0</v>
      </c>
      <c r="AD40" s="1431">
        <f t="shared" si="26"/>
        <v>0</v>
      </c>
      <c r="AE40" s="1431">
        <f t="shared" si="26"/>
        <v>0</v>
      </c>
      <c r="AF40" s="1431">
        <f t="shared" si="26"/>
        <v>1529682687.25</v>
      </c>
      <c r="AG40" s="1431">
        <f t="shared" si="26"/>
        <v>321302000</v>
      </c>
      <c r="AH40" s="1431">
        <f t="shared" si="26"/>
        <v>474390814.74000001</v>
      </c>
      <c r="AI40" s="1431">
        <f t="shared" si="26"/>
        <v>660393501.22000003</v>
      </c>
      <c r="AJ40" s="1431">
        <f t="shared" si="26"/>
        <v>73596371.290000007</v>
      </c>
      <c r="AK40" s="1431">
        <f t="shared" si="26"/>
        <v>0</v>
      </c>
      <c r="AL40" s="1431">
        <f t="shared" si="26"/>
        <v>1529682687.25</v>
      </c>
      <c r="AM40" s="1431">
        <f t="shared" si="26"/>
        <v>321302000</v>
      </c>
      <c r="AN40" s="1431">
        <f t="shared" si="26"/>
        <v>474390814.74000001</v>
      </c>
      <c r="AO40" s="1431">
        <f t="shared" si="26"/>
        <v>660393501.22000003</v>
      </c>
      <c r="AP40" s="1431">
        <f t="shared" si="26"/>
        <v>73596371.290000007</v>
      </c>
      <c r="AQ40" s="1431">
        <f t="shared" si="26"/>
        <v>0</v>
      </c>
      <c r="AR40" s="1431">
        <f t="shared" si="26"/>
        <v>0</v>
      </c>
      <c r="AS40" s="1431">
        <f t="shared" si="26"/>
        <v>0</v>
      </c>
      <c r="AT40" s="1431">
        <f t="shared" si="26"/>
        <v>0</v>
      </c>
      <c r="AU40" s="1431">
        <f t="shared" si="26"/>
        <v>0</v>
      </c>
      <c r="AV40" s="1431">
        <f t="shared" si="26"/>
        <v>0</v>
      </c>
      <c r="AW40" s="1431">
        <f t="shared" si="26"/>
        <v>0</v>
      </c>
      <c r="AX40" s="1431">
        <f t="shared" si="26"/>
        <v>0</v>
      </c>
      <c r="AY40" s="1431">
        <f t="shared" si="26"/>
        <v>0</v>
      </c>
      <c r="AZ40" s="1431">
        <f t="shared" si="26"/>
        <v>0</v>
      </c>
      <c r="BA40" s="1431">
        <f t="shared" si="26"/>
        <v>0</v>
      </c>
      <c r="BB40" s="1431">
        <f t="shared" si="26"/>
        <v>0</v>
      </c>
      <c r="BC40" s="1431">
        <f t="shared" si="26"/>
        <v>0</v>
      </c>
      <c r="BD40" s="1431">
        <f t="shared" si="26"/>
        <v>0</v>
      </c>
      <c r="BE40" s="1431">
        <f t="shared" si="26"/>
        <v>0</v>
      </c>
      <c r="BF40" s="1431">
        <f t="shared" si="26"/>
        <v>0</v>
      </c>
      <c r="BG40" s="1431">
        <f t="shared" si="26"/>
        <v>0</v>
      </c>
      <c r="BH40" s="1431">
        <f t="shared" si="26"/>
        <v>0</v>
      </c>
    </row>
    <row r="41" spans="1:66" x14ac:dyDescent="0.25">
      <c r="A41" s="569" t="s">
        <v>764</v>
      </c>
      <c r="B41" s="1432">
        <f>B33</f>
        <v>22629108362.93</v>
      </c>
      <c r="C41" s="1432">
        <f t="shared" ref="C41:BH41" si="27">C33</f>
        <v>4199910443.3000002</v>
      </c>
      <c r="D41" s="1432">
        <f t="shared" si="27"/>
        <v>8811636882.8799992</v>
      </c>
      <c r="E41" s="1432">
        <f t="shared" si="27"/>
        <v>8357986225.0400009</v>
      </c>
      <c r="F41" s="1432">
        <f t="shared" si="27"/>
        <v>1259574811.71</v>
      </c>
      <c r="G41" s="1432">
        <f t="shared" si="27"/>
        <v>0</v>
      </c>
      <c r="H41" s="1432">
        <f t="shared" si="27"/>
        <v>22629108362.93</v>
      </c>
      <c r="I41" s="1432">
        <f t="shared" si="27"/>
        <v>4199910443.3000002</v>
      </c>
      <c r="J41" s="1432">
        <f t="shared" si="27"/>
        <v>8811636882.8799992</v>
      </c>
      <c r="K41" s="1432">
        <f t="shared" si="27"/>
        <v>8357986225.0400009</v>
      </c>
      <c r="L41" s="1432">
        <f t="shared" si="27"/>
        <v>1259574811.71</v>
      </c>
      <c r="M41" s="1432">
        <f t="shared" si="27"/>
        <v>0</v>
      </c>
      <c r="N41" s="1432">
        <f t="shared" si="27"/>
        <v>0</v>
      </c>
      <c r="O41" s="1432">
        <f t="shared" si="27"/>
        <v>0</v>
      </c>
      <c r="P41" s="1432">
        <f t="shared" si="27"/>
        <v>0</v>
      </c>
      <c r="Q41" s="1432">
        <f t="shared" si="27"/>
        <v>0</v>
      </c>
      <c r="R41" s="1432">
        <f t="shared" si="27"/>
        <v>0</v>
      </c>
      <c r="S41" s="1432">
        <f t="shared" si="27"/>
        <v>0</v>
      </c>
      <c r="T41" s="1432">
        <f t="shared" si="27"/>
        <v>0</v>
      </c>
      <c r="U41" s="1432">
        <f t="shared" si="27"/>
        <v>0</v>
      </c>
      <c r="V41" s="1432">
        <f t="shared" si="27"/>
        <v>0</v>
      </c>
      <c r="W41" s="1432">
        <f t="shared" si="27"/>
        <v>0</v>
      </c>
      <c r="X41" s="1432">
        <f t="shared" si="27"/>
        <v>0</v>
      </c>
      <c r="Y41" s="1432">
        <f t="shared" si="27"/>
        <v>0</v>
      </c>
      <c r="Z41" s="1432">
        <f t="shared" si="27"/>
        <v>0</v>
      </c>
      <c r="AA41" s="1432">
        <f t="shared" si="27"/>
        <v>0</v>
      </c>
      <c r="AB41" s="1432">
        <f t="shared" si="27"/>
        <v>0</v>
      </c>
      <c r="AC41" s="1432">
        <f t="shared" si="27"/>
        <v>0</v>
      </c>
      <c r="AD41" s="1432">
        <f t="shared" si="27"/>
        <v>0</v>
      </c>
      <c r="AE41" s="1432">
        <f t="shared" si="27"/>
        <v>0</v>
      </c>
      <c r="AF41" s="1432">
        <f t="shared" si="27"/>
        <v>9583129803.7799988</v>
      </c>
      <c r="AG41" s="1432">
        <f t="shared" si="27"/>
        <v>1637693745.9100001</v>
      </c>
      <c r="AH41" s="1432">
        <f t="shared" si="27"/>
        <v>2908651303.3099999</v>
      </c>
      <c r="AI41" s="1432">
        <f t="shared" si="27"/>
        <v>4578427458.4899998</v>
      </c>
      <c r="AJ41" s="1432">
        <f t="shared" si="27"/>
        <v>458357296.07000005</v>
      </c>
      <c r="AK41" s="1432">
        <f t="shared" si="27"/>
        <v>0</v>
      </c>
      <c r="AL41" s="1432">
        <f t="shared" si="27"/>
        <v>9583129803.7799988</v>
      </c>
      <c r="AM41" s="1432">
        <f t="shared" si="27"/>
        <v>1637693745.9100001</v>
      </c>
      <c r="AN41" s="1432">
        <f t="shared" si="27"/>
        <v>2908651303.3099999</v>
      </c>
      <c r="AO41" s="1432">
        <f t="shared" si="27"/>
        <v>4578427458.4899998</v>
      </c>
      <c r="AP41" s="1432">
        <f t="shared" si="27"/>
        <v>458357296.07000005</v>
      </c>
      <c r="AQ41" s="1432">
        <f t="shared" si="27"/>
        <v>0</v>
      </c>
      <c r="AR41" s="1432">
        <f t="shared" si="27"/>
        <v>0</v>
      </c>
      <c r="AS41" s="1432">
        <f t="shared" si="27"/>
        <v>0</v>
      </c>
      <c r="AT41" s="1432">
        <f t="shared" si="27"/>
        <v>0</v>
      </c>
      <c r="AU41" s="1432">
        <f t="shared" si="27"/>
        <v>0</v>
      </c>
      <c r="AV41" s="1432">
        <f t="shared" si="27"/>
        <v>0</v>
      </c>
      <c r="AW41" s="1432">
        <f t="shared" si="27"/>
        <v>0</v>
      </c>
      <c r="AX41" s="1432">
        <f t="shared" si="27"/>
        <v>0</v>
      </c>
      <c r="AY41" s="1432">
        <f t="shared" si="27"/>
        <v>0</v>
      </c>
      <c r="AZ41" s="1432">
        <f t="shared" si="27"/>
        <v>0</v>
      </c>
      <c r="BA41" s="1432">
        <f t="shared" si="27"/>
        <v>0</v>
      </c>
      <c r="BB41" s="1432">
        <f t="shared" si="27"/>
        <v>0</v>
      </c>
      <c r="BC41" s="1432">
        <f t="shared" si="27"/>
        <v>0</v>
      </c>
      <c r="BD41" s="1432">
        <f t="shared" si="27"/>
        <v>0</v>
      </c>
      <c r="BE41" s="1432">
        <f t="shared" si="27"/>
        <v>0</v>
      </c>
      <c r="BF41" s="1432">
        <f t="shared" si="27"/>
        <v>0</v>
      </c>
      <c r="BG41" s="1432">
        <f t="shared" si="27"/>
        <v>0</v>
      </c>
      <c r="BH41" s="1432">
        <f t="shared" si="27"/>
        <v>0</v>
      </c>
    </row>
    <row r="42" spans="1:66" x14ac:dyDescent="0.25">
      <c r="B42" s="1426"/>
      <c r="E42" s="1428"/>
      <c r="H42" s="1426"/>
      <c r="N42" s="1426"/>
      <c r="AB42" s="1429"/>
      <c r="AF42" s="1426"/>
      <c r="AL42" s="1426"/>
      <c r="AR42" s="1426"/>
    </row>
    <row r="43" spans="1:66" x14ac:dyDescent="0.25">
      <c r="B43" s="1426"/>
      <c r="E43" s="1428"/>
      <c r="H43" s="1426"/>
      <c r="N43" s="1426"/>
      <c r="AB43" s="1429"/>
      <c r="AF43" s="1426"/>
      <c r="AL43" s="1426"/>
      <c r="AR43" s="1426"/>
    </row>
    <row r="44" spans="1:66" ht="21" customHeight="1" x14ac:dyDescent="0.25">
      <c r="A44" s="571" t="s">
        <v>823</v>
      </c>
      <c r="B44" s="1433"/>
      <c r="C44" s="1433"/>
      <c r="D44" s="1433"/>
      <c r="E44" s="1433"/>
      <c r="F44" s="1433"/>
      <c r="G44" s="1433"/>
      <c r="H44" s="1433"/>
      <c r="I44" s="572"/>
      <c r="J44" s="572"/>
      <c r="K44" s="572"/>
      <c r="L44" s="572"/>
      <c r="M44" s="572"/>
      <c r="N44" s="1434">
        <f>'Проверочная  таблица'!H38</f>
        <v>593090602.53999996</v>
      </c>
      <c r="O44" s="1434"/>
      <c r="P44" s="1434"/>
      <c r="Q44" s="1434"/>
      <c r="R44" s="1434"/>
      <c r="S44" s="1434"/>
      <c r="T44" s="1434"/>
      <c r="U44" s="1434"/>
      <c r="V44" s="1434"/>
      <c r="W44" s="1434"/>
      <c r="X44" s="1434"/>
      <c r="Y44" s="1434"/>
      <c r="Z44" s="1434"/>
      <c r="AA44" s="1434"/>
      <c r="AB44" s="1434"/>
      <c r="AC44" s="1434"/>
      <c r="AD44" s="1434"/>
      <c r="AE44" s="1434"/>
      <c r="AF44" s="573"/>
      <c r="AG44" s="573"/>
      <c r="AH44" s="573"/>
      <c r="AI44" s="573"/>
      <c r="AJ44" s="573"/>
      <c r="AK44" s="573"/>
      <c r="AL44" s="572"/>
      <c r="AM44" s="572"/>
      <c r="AN44" s="572"/>
      <c r="AO44" s="572"/>
      <c r="AP44" s="572"/>
      <c r="AQ44" s="572"/>
      <c r="AR44" s="1434">
        <f>'Проверочная  таблица'!I38</f>
        <v>304169347.85000002</v>
      </c>
      <c r="AS44" s="1433"/>
      <c r="AT44" s="1433"/>
      <c r="AU44" s="1433"/>
      <c r="AV44" s="1433"/>
      <c r="AW44" s="1433"/>
      <c r="AX44" s="1433"/>
      <c r="AY44" s="1433"/>
      <c r="AZ44" s="1433"/>
      <c r="BA44" s="1433"/>
      <c r="BB44" s="1433"/>
      <c r="BC44" s="1433"/>
      <c r="BD44" s="1433"/>
      <c r="BE44" s="1433"/>
      <c r="BF44" s="1433"/>
      <c r="BG44" s="1433"/>
      <c r="BH44" s="1433"/>
      <c r="BI44" s="1433"/>
    </row>
    <row r="45" spans="1:66" ht="21" customHeight="1" x14ac:dyDescent="0.25">
      <c r="A45" s="571" t="s">
        <v>824</v>
      </c>
      <c r="B45" s="1433"/>
      <c r="C45" s="1433"/>
      <c r="D45" s="1433"/>
      <c r="E45" s="1433"/>
      <c r="F45" s="1433"/>
      <c r="G45" s="1433"/>
      <c r="H45" s="1433"/>
      <c r="I45" s="572"/>
      <c r="J45" s="572"/>
      <c r="K45" s="572"/>
      <c r="L45" s="572"/>
      <c r="M45" s="572"/>
      <c r="N45" s="1434">
        <f>'Проверочная  таблица'!P38</f>
        <v>1149431620</v>
      </c>
      <c r="O45" s="1434"/>
      <c r="P45" s="1434"/>
      <c r="Q45" s="1434"/>
      <c r="R45" s="1434"/>
      <c r="S45" s="1434"/>
      <c r="T45" s="1434"/>
      <c r="U45" s="1434"/>
      <c r="V45" s="1434"/>
      <c r="W45" s="1434"/>
      <c r="X45" s="1434"/>
      <c r="Y45" s="1434"/>
      <c r="Z45" s="1434"/>
      <c r="AA45" s="1434"/>
      <c r="AB45" s="1434"/>
      <c r="AC45" s="1434"/>
      <c r="AD45" s="1434"/>
      <c r="AE45" s="1434"/>
      <c r="AF45" s="573"/>
      <c r="AG45" s="573"/>
      <c r="AH45" s="573"/>
      <c r="AI45" s="573"/>
      <c r="AJ45" s="573"/>
      <c r="AK45" s="573"/>
      <c r="AL45" s="572"/>
      <c r="AM45" s="572"/>
      <c r="AN45" s="572"/>
      <c r="AO45" s="572"/>
      <c r="AP45" s="572"/>
      <c r="AQ45" s="572"/>
      <c r="AR45" s="1434">
        <f>'Проверочная  таблица'!Q38</f>
        <v>478999233.56999999</v>
      </c>
      <c r="AS45" s="1433"/>
      <c r="AT45" s="1433"/>
      <c r="AU45" s="1435"/>
      <c r="AV45" s="1435"/>
      <c r="AW45" s="1435"/>
      <c r="AX45" s="1435"/>
      <c r="AY45" s="1435"/>
      <c r="AZ45" s="1435"/>
      <c r="BA45" s="1435"/>
      <c r="BB45" s="1435"/>
      <c r="BC45" s="1435"/>
      <c r="BD45" s="1435"/>
      <c r="BE45" s="1435"/>
      <c r="BF45" s="1435"/>
      <c r="BG45" s="1435"/>
      <c r="BH45" s="1435"/>
      <c r="BI45" s="1435"/>
    </row>
    <row r="46" spans="1:66" ht="21" customHeight="1" x14ac:dyDescent="0.25">
      <c r="A46" s="574" t="s">
        <v>825</v>
      </c>
      <c r="B46" s="1435"/>
      <c r="C46" s="1435"/>
      <c r="D46" s="1435"/>
      <c r="E46" s="1435"/>
      <c r="F46" s="1435"/>
      <c r="G46" s="1435"/>
      <c r="H46" s="1435"/>
      <c r="I46" s="575"/>
      <c r="J46" s="575"/>
      <c r="K46" s="575"/>
      <c r="L46" s="575"/>
      <c r="M46" s="575"/>
      <c r="N46" s="1436">
        <f>'Проверочная  таблица'!AD38</f>
        <v>11500000</v>
      </c>
      <c r="O46" s="1436"/>
      <c r="P46" s="1436"/>
      <c r="Q46" s="1436"/>
      <c r="R46" s="1436"/>
      <c r="S46" s="1436"/>
      <c r="T46" s="1436"/>
      <c r="U46" s="1436"/>
      <c r="V46" s="1436"/>
      <c r="W46" s="1436"/>
      <c r="X46" s="1436"/>
      <c r="Y46" s="1436"/>
      <c r="Z46" s="1436"/>
      <c r="AA46" s="1436"/>
      <c r="AB46" s="1436"/>
      <c r="AC46" s="1436"/>
      <c r="AD46" s="1436"/>
      <c r="AE46" s="1436"/>
      <c r="AF46" s="576"/>
      <c r="AG46" s="576"/>
      <c r="AH46" s="576"/>
      <c r="AI46" s="576"/>
      <c r="AJ46" s="576"/>
      <c r="AK46" s="576"/>
      <c r="AL46" s="575"/>
      <c r="AM46" s="575"/>
      <c r="AN46" s="575"/>
      <c r="AO46" s="575"/>
      <c r="AP46" s="575"/>
      <c r="AQ46" s="575"/>
      <c r="AR46" s="1436">
        <f>'Проверочная  таблица'!AG38</f>
        <v>0</v>
      </c>
      <c r="AS46" s="1433"/>
      <c r="AT46" s="1433"/>
      <c r="AU46" s="1433"/>
      <c r="AV46" s="1433"/>
      <c r="AW46" s="1433"/>
      <c r="AX46" s="1433"/>
      <c r="AY46" s="1433"/>
      <c r="AZ46" s="1433"/>
      <c r="BA46" s="1433"/>
      <c r="BB46" s="1433"/>
      <c r="BC46" s="1433"/>
      <c r="BD46" s="1433"/>
      <c r="BE46" s="1433"/>
      <c r="BF46" s="1433"/>
      <c r="BG46" s="1433"/>
      <c r="BH46" s="1433"/>
      <c r="BI46" s="1433"/>
    </row>
    <row r="47" spans="1:66" ht="21" customHeight="1" x14ac:dyDescent="0.25">
      <c r="A47" s="574" t="s">
        <v>826</v>
      </c>
      <c r="B47" s="1435"/>
      <c r="C47" s="1435"/>
      <c r="D47" s="1435"/>
      <c r="E47" s="1435"/>
      <c r="F47" s="1435"/>
      <c r="G47" s="1435"/>
      <c r="H47" s="1435"/>
      <c r="I47" s="575"/>
      <c r="J47" s="575"/>
      <c r="K47" s="575"/>
      <c r="L47" s="575"/>
      <c r="M47" s="575"/>
      <c r="N47" s="1436">
        <f>'Проверочная  таблица'!BL38</f>
        <v>212375065.56999999</v>
      </c>
      <c r="O47" s="1436"/>
      <c r="P47" s="1436"/>
      <c r="Q47" s="1436"/>
      <c r="R47" s="1436"/>
      <c r="S47" s="1436"/>
      <c r="T47" s="1436"/>
      <c r="U47" s="1436"/>
      <c r="V47" s="1436"/>
      <c r="W47" s="1436"/>
      <c r="X47" s="1436"/>
      <c r="Y47" s="1436"/>
      <c r="Z47" s="1436"/>
      <c r="AA47" s="1436"/>
      <c r="AB47" s="1436"/>
      <c r="AC47" s="1436"/>
      <c r="AD47" s="1436"/>
      <c r="AE47" s="1436"/>
      <c r="AF47" s="576"/>
      <c r="AG47" s="576"/>
      <c r="AH47" s="576"/>
      <c r="AI47" s="576"/>
      <c r="AJ47" s="576"/>
      <c r="AK47" s="576"/>
      <c r="AL47" s="575"/>
      <c r="AM47" s="575"/>
      <c r="AN47" s="575"/>
      <c r="AO47" s="575"/>
      <c r="AP47" s="575"/>
      <c r="AQ47" s="575"/>
      <c r="AR47" s="1436">
        <f>'Проверочная  таблица'!BN38</f>
        <v>59325881.299999997</v>
      </c>
      <c r="AS47" s="1435"/>
      <c r="AT47" s="1435"/>
      <c r="AU47" s="1433"/>
      <c r="AV47" s="1433"/>
      <c r="AW47" s="1433"/>
      <c r="AX47" s="1433"/>
      <c r="AY47" s="1433"/>
      <c r="AZ47" s="1433"/>
      <c r="BA47" s="1433"/>
      <c r="BB47" s="1433"/>
      <c r="BC47" s="1433"/>
      <c r="BD47" s="1433"/>
      <c r="BE47" s="1433"/>
      <c r="BF47" s="1433"/>
      <c r="BG47" s="1433"/>
      <c r="BH47" s="1433"/>
      <c r="BI47" s="1433"/>
    </row>
    <row r="48" spans="1:66" ht="21" customHeight="1" x14ac:dyDescent="0.25">
      <c r="A48" s="574" t="s">
        <v>827</v>
      </c>
      <c r="B48" s="1435"/>
      <c r="C48" s="1435"/>
      <c r="D48" s="1435"/>
      <c r="E48" s="1435"/>
      <c r="F48" s="1435"/>
      <c r="G48" s="1435"/>
      <c r="H48" s="1435"/>
      <c r="I48" s="575"/>
      <c r="J48" s="575"/>
      <c r="K48" s="575"/>
      <c r="L48" s="575"/>
      <c r="M48" s="575"/>
      <c r="N48" s="1436">
        <f>'Проверочная  таблица'!AV38</f>
        <v>91624576.299999997</v>
      </c>
      <c r="O48" s="1436"/>
      <c r="P48" s="1436"/>
      <c r="Q48" s="1436"/>
      <c r="R48" s="1436"/>
      <c r="S48" s="1436"/>
      <c r="T48" s="1436"/>
      <c r="U48" s="1436"/>
      <c r="V48" s="1436"/>
      <c r="W48" s="1436"/>
      <c r="X48" s="1436"/>
      <c r="Y48" s="1436"/>
      <c r="Z48" s="1436"/>
      <c r="AA48" s="1436"/>
      <c r="AB48" s="1436"/>
      <c r="AC48" s="1436"/>
      <c r="AD48" s="1436"/>
      <c r="AE48" s="1436"/>
      <c r="AF48" s="576"/>
      <c r="AG48" s="576"/>
      <c r="AH48" s="576"/>
      <c r="AI48" s="576"/>
      <c r="AJ48" s="576"/>
      <c r="AK48" s="576"/>
      <c r="AL48" s="575"/>
      <c r="AM48" s="575"/>
      <c r="AN48" s="575"/>
      <c r="AO48" s="575"/>
      <c r="AP48" s="575"/>
      <c r="AQ48" s="575"/>
      <c r="AR48" s="1436">
        <f>'Проверочная  таблица'!AX38</f>
        <v>0</v>
      </c>
      <c r="AS48" s="1435"/>
      <c r="AT48" s="1435"/>
      <c r="AU48" s="1433"/>
      <c r="AV48" s="1433"/>
      <c r="AW48" s="1433"/>
      <c r="AX48" s="1433"/>
      <c r="AY48" s="1433"/>
      <c r="AZ48" s="1433"/>
      <c r="BA48" s="1433"/>
      <c r="BB48" s="1433"/>
      <c r="BC48" s="1433"/>
      <c r="BD48" s="1433"/>
      <c r="BE48" s="1433"/>
      <c r="BF48" s="1433"/>
      <c r="BG48" s="1433"/>
      <c r="BH48" s="1433"/>
      <c r="BI48" s="1433"/>
    </row>
    <row r="49" spans="1:61" ht="33" customHeight="1" x14ac:dyDescent="0.25">
      <c r="A49" s="1687" t="s">
        <v>828</v>
      </c>
      <c r="B49" s="1687"/>
      <c r="C49" s="1687"/>
      <c r="D49" s="1687"/>
      <c r="E49" s="1687"/>
      <c r="F49" s="1687"/>
      <c r="G49" s="1687"/>
      <c r="H49" s="1687"/>
      <c r="I49" s="1687"/>
      <c r="J49" s="1687"/>
      <c r="K49" s="1687"/>
      <c r="L49" s="575"/>
      <c r="M49" s="575"/>
      <c r="N49" s="1436">
        <f>'Проверочная  таблица'!BV38</f>
        <v>0</v>
      </c>
      <c r="O49" s="1436"/>
      <c r="P49" s="1436"/>
      <c r="Q49" s="1436"/>
      <c r="R49" s="1436"/>
      <c r="S49" s="1436"/>
      <c r="T49" s="1436"/>
      <c r="U49" s="1436"/>
      <c r="V49" s="1436"/>
      <c r="W49" s="1436"/>
      <c r="X49" s="1436"/>
      <c r="Y49" s="1436"/>
      <c r="Z49" s="1436"/>
      <c r="AA49" s="1436"/>
      <c r="AB49" s="1436"/>
      <c r="AC49" s="1436"/>
      <c r="AD49" s="1436"/>
      <c r="AE49" s="1436"/>
      <c r="AF49" s="576"/>
      <c r="AG49" s="576"/>
      <c r="AH49" s="576"/>
      <c r="AI49" s="576"/>
      <c r="AJ49" s="576"/>
      <c r="AK49" s="576"/>
      <c r="AL49" s="575"/>
      <c r="AM49" s="575"/>
      <c r="AN49" s="575"/>
      <c r="AO49" s="575"/>
      <c r="AP49" s="575"/>
      <c r="AQ49" s="575"/>
      <c r="AR49" s="1436">
        <f>'Проверочная  таблица'!BW38</f>
        <v>0</v>
      </c>
      <c r="AS49" s="1435"/>
      <c r="AT49" s="1435"/>
      <c r="AU49" s="1435"/>
      <c r="AV49" s="1433"/>
      <c r="AW49" s="1433"/>
      <c r="AX49" s="1433"/>
      <c r="AY49" s="1433"/>
      <c r="AZ49" s="1433"/>
      <c r="BA49" s="1433"/>
      <c r="BB49" s="1433"/>
      <c r="BC49" s="1433"/>
      <c r="BD49" s="1433"/>
      <c r="BE49" s="1433"/>
      <c r="BF49" s="1433"/>
      <c r="BG49" s="1433"/>
      <c r="BH49" s="1433"/>
      <c r="BI49" s="1433"/>
    </row>
    <row r="50" spans="1:61" x14ac:dyDescent="0.25">
      <c r="A50" s="577" t="s">
        <v>829</v>
      </c>
      <c r="B50" s="578"/>
      <c r="C50" s="578"/>
      <c r="D50" s="578"/>
      <c r="E50" s="578"/>
      <c r="F50" s="578"/>
      <c r="G50" s="578"/>
      <c r="H50" s="578"/>
      <c r="I50" s="578"/>
      <c r="J50" s="578"/>
      <c r="K50" s="578"/>
      <c r="L50" s="575"/>
      <c r="M50" s="575"/>
      <c r="N50" s="1436">
        <f>'Проверочная  таблица'!KZ38</f>
        <v>2533780</v>
      </c>
      <c r="O50" s="1436"/>
      <c r="P50" s="1436"/>
      <c r="Q50" s="1436"/>
      <c r="R50" s="1436"/>
      <c r="S50" s="1436"/>
      <c r="T50" s="1436"/>
      <c r="U50" s="1436"/>
      <c r="V50" s="1436"/>
      <c r="W50" s="1436"/>
      <c r="X50" s="1436"/>
      <c r="Y50" s="1436"/>
      <c r="Z50" s="1436"/>
      <c r="AA50" s="1436"/>
      <c r="AB50" s="1436"/>
      <c r="AC50" s="1436"/>
      <c r="AD50" s="1436"/>
      <c r="AE50" s="1436"/>
      <c r="AF50" s="576"/>
      <c r="AG50" s="576"/>
      <c r="AH50" s="576"/>
      <c r="AI50" s="576"/>
      <c r="AJ50" s="576"/>
      <c r="AK50" s="576"/>
      <c r="AL50" s="575"/>
      <c r="AM50" s="575"/>
      <c r="AN50" s="575"/>
      <c r="AO50" s="575"/>
      <c r="AP50" s="575"/>
      <c r="AQ50" s="575"/>
      <c r="AR50" s="1436">
        <f>'Проверочная  таблица'!LE38</f>
        <v>0</v>
      </c>
      <c r="AS50" s="1435"/>
      <c r="AT50" s="1435"/>
      <c r="AU50" s="1435"/>
      <c r="AV50" s="1433"/>
      <c r="AW50" s="1435"/>
      <c r="AX50" s="1435"/>
      <c r="AY50" s="1435"/>
      <c r="AZ50" s="1435"/>
      <c r="BA50" s="1435"/>
      <c r="BB50" s="1435"/>
      <c r="BC50" s="1435"/>
      <c r="BD50" s="1435"/>
      <c r="BE50" s="1435"/>
      <c r="BF50" s="1435"/>
      <c r="BG50" s="1435"/>
      <c r="BH50" s="1435"/>
      <c r="BI50" s="1435"/>
    </row>
    <row r="51" spans="1:61" ht="21" customHeight="1" x14ac:dyDescent="0.25">
      <c r="A51" s="574" t="s">
        <v>830</v>
      </c>
      <c r="B51" s="1435"/>
      <c r="C51" s="1435"/>
      <c r="D51" s="1435"/>
      <c r="E51" s="1435"/>
      <c r="F51" s="1435"/>
      <c r="G51" s="1435"/>
      <c r="H51" s="1435"/>
      <c r="I51" s="575"/>
      <c r="J51" s="575"/>
      <c r="K51" s="575"/>
      <c r="L51" s="575"/>
      <c r="M51" s="575"/>
      <c r="N51" s="1436">
        <f>'Проверочная  таблица'!CJ38</f>
        <v>0</v>
      </c>
      <c r="O51" s="1436"/>
      <c r="P51" s="1436"/>
      <c r="Q51" s="1436"/>
      <c r="R51" s="1436"/>
      <c r="S51" s="1436"/>
      <c r="T51" s="1436"/>
      <c r="U51" s="1436"/>
      <c r="V51" s="1436"/>
      <c r="W51" s="1436"/>
      <c r="X51" s="1436"/>
      <c r="Y51" s="1436"/>
      <c r="Z51" s="1436"/>
      <c r="AA51" s="1436"/>
      <c r="AB51" s="1436"/>
      <c r="AC51" s="1436"/>
      <c r="AD51" s="1436"/>
      <c r="AE51" s="1436"/>
      <c r="AF51" s="576"/>
      <c r="AG51" s="576"/>
      <c r="AH51" s="576"/>
      <c r="AI51" s="576"/>
      <c r="AJ51" s="576"/>
      <c r="AK51" s="576"/>
      <c r="AL51" s="575"/>
      <c r="AM51" s="575"/>
      <c r="AN51" s="575"/>
      <c r="AO51" s="575"/>
      <c r="AP51" s="572"/>
      <c r="AQ51" s="572"/>
      <c r="AR51" s="1434">
        <f>'Проверочная  таблица'!CK38</f>
        <v>0</v>
      </c>
      <c r="AS51" s="1433"/>
      <c r="AT51" s="1433"/>
      <c r="AU51" s="1433"/>
      <c r="AV51" s="1433"/>
      <c r="AW51" s="1435"/>
      <c r="AX51" s="1435"/>
      <c r="AY51" s="1435"/>
      <c r="AZ51" s="1435"/>
      <c r="BA51" s="1435"/>
      <c r="BB51" s="1435"/>
      <c r="BC51" s="1435"/>
      <c r="BD51" s="1435"/>
      <c r="BE51" s="1435"/>
      <c r="BF51" s="1435"/>
      <c r="BG51" s="1435"/>
      <c r="BH51" s="1435"/>
      <c r="BI51" s="1435"/>
    </row>
    <row r="52" spans="1:61" ht="21" customHeight="1" x14ac:dyDescent="0.25">
      <c r="A52" s="574" t="s">
        <v>831</v>
      </c>
      <c r="B52" s="1435"/>
      <c r="C52" s="1435"/>
      <c r="D52" s="1435"/>
      <c r="E52" s="1435"/>
      <c r="F52" s="1435"/>
      <c r="G52" s="1435"/>
      <c r="H52" s="1435"/>
      <c r="I52" s="575"/>
      <c r="J52" s="575"/>
      <c r="K52" s="575"/>
      <c r="L52" s="575"/>
      <c r="M52" s="575"/>
      <c r="N52" s="1436">
        <f>'Проверочная  таблица'!FH38</f>
        <v>3880682.69</v>
      </c>
      <c r="O52" s="1436"/>
      <c r="P52" s="1436"/>
      <c r="Q52" s="1436"/>
      <c r="R52" s="1436"/>
      <c r="S52" s="1436"/>
      <c r="T52" s="1436"/>
      <c r="U52" s="1436"/>
      <c r="V52" s="1436"/>
      <c r="W52" s="1436"/>
      <c r="X52" s="1436"/>
      <c r="Y52" s="1436"/>
      <c r="Z52" s="1436"/>
      <c r="AA52" s="1436"/>
      <c r="AB52" s="1436"/>
      <c r="AC52" s="1436"/>
      <c r="AD52" s="1436"/>
      <c r="AE52" s="1436"/>
      <c r="AF52" s="576"/>
      <c r="AG52" s="576"/>
      <c r="AH52" s="576"/>
      <c r="AI52" s="576"/>
      <c r="AJ52" s="576"/>
      <c r="AK52" s="576"/>
      <c r="AL52" s="575"/>
      <c r="AM52" s="575"/>
      <c r="AN52" s="575"/>
      <c r="AO52" s="575"/>
      <c r="AP52" s="572"/>
      <c r="AQ52" s="572"/>
      <c r="AR52" s="1434">
        <f>'Проверочная  таблица'!FK38</f>
        <v>842629.03</v>
      </c>
      <c r="AS52" s="1433"/>
      <c r="AT52" s="1433"/>
      <c r="AU52" s="1433"/>
      <c r="AV52" s="1433"/>
      <c r="AW52" s="1435"/>
      <c r="AX52" s="1435"/>
      <c r="AY52" s="1435"/>
      <c r="AZ52" s="1435"/>
      <c r="BA52" s="1435"/>
      <c r="BB52" s="1435"/>
      <c r="BC52" s="1435"/>
      <c r="BD52" s="1435"/>
      <c r="BE52" s="1435"/>
      <c r="BF52" s="1435"/>
      <c r="BG52" s="1435"/>
      <c r="BH52" s="1435"/>
      <c r="BI52" s="1435"/>
    </row>
    <row r="53" spans="1:61" ht="21" customHeight="1" x14ac:dyDescent="0.25">
      <c r="A53" s="574" t="s">
        <v>832</v>
      </c>
      <c r="B53" s="1435"/>
      <c r="C53" s="1435"/>
      <c r="D53" s="1435"/>
      <c r="E53" s="1435"/>
      <c r="F53" s="1435"/>
      <c r="G53" s="1435"/>
      <c r="H53" s="1435"/>
      <c r="I53" s="575"/>
      <c r="J53" s="575"/>
      <c r="K53" s="575"/>
      <c r="L53" s="575"/>
      <c r="M53" s="575"/>
      <c r="N53" s="1436">
        <f>'Проверочная  таблица'!MD38</f>
        <v>32277567.57</v>
      </c>
      <c r="O53" s="1436"/>
      <c r="P53" s="1436"/>
      <c r="Q53" s="1436"/>
      <c r="R53" s="1436"/>
      <c r="S53" s="1436"/>
      <c r="T53" s="1436"/>
      <c r="U53" s="1436"/>
      <c r="V53" s="1436"/>
      <c r="W53" s="1436"/>
      <c r="X53" s="1436"/>
      <c r="Y53" s="1436"/>
      <c r="Z53" s="1436"/>
      <c r="AA53" s="1436"/>
      <c r="AB53" s="1436"/>
      <c r="AC53" s="1436"/>
      <c r="AD53" s="1436"/>
      <c r="AE53" s="1436"/>
      <c r="AF53" s="576"/>
      <c r="AG53" s="576"/>
      <c r="AH53" s="576"/>
      <c r="AI53" s="576"/>
      <c r="AJ53" s="576"/>
      <c r="AK53" s="576"/>
      <c r="AL53" s="575"/>
      <c r="AM53" s="575"/>
      <c r="AN53" s="575"/>
      <c r="AO53" s="575"/>
      <c r="AP53" s="572"/>
      <c r="AQ53" s="572"/>
      <c r="AR53" s="1434">
        <f>'Проверочная  таблица'!MH38</f>
        <v>21110008.829999998</v>
      </c>
      <c r="AS53" s="1433"/>
      <c r="AT53" s="1433"/>
      <c r="AU53" s="1433"/>
      <c r="AV53" s="1433"/>
      <c r="AW53" s="1435"/>
      <c r="AX53" s="1435"/>
      <c r="AY53" s="1435"/>
      <c r="AZ53" s="1435"/>
      <c r="BA53" s="1435"/>
      <c r="BB53" s="1435"/>
      <c r="BC53" s="1435"/>
      <c r="BD53" s="1435"/>
      <c r="BE53" s="1435"/>
      <c r="BF53" s="1435"/>
      <c r="BG53" s="1435"/>
      <c r="BH53" s="1435"/>
      <c r="BI53" s="1435"/>
    </row>
    <row r="54" spans="1:61" ht="20.100000000000001" customHeight="1" x14ac:dyDescent="0.25">
      <c r="A54" s="1687" t="s">
        <v>833</v>
      </c>
      <c r="B54" s="1687"/>
      <c r="C54" s="1687"/>
      <c r="D54" s="1687"/>
      <c r="E54" s="1687"/>
      <c r="F54" s="1687"/>
      <c r="G54" s="1687"/>
      <c r="H54" s="1687"/>
      <c r="I54" s="1687"/>
      <c r="J54" s="1687"/>
      <c r="K54" s="1687"/>
      <c r="L54" s="1687"/>
      <c r="M54" s="575"/>
      <c r="N54" s="1436">
        <f>'Проверочная  таблица'!HX38</f>
        <v>169455019.44999999</v>
      </c>
      <c r="O54" s="1436"/>
      <c r="P54" s="1436"/>
      <c r="Q54" s="1436"/>
      <c r="R54" s="1436"/>
      <c r="S54" s="1436"/>
      <c r="T54" s="1436"/>
      <c r="U54" s="1436"/>
      <c r="V54" s="1436"/>
      <c r="W54" s="1436"/>
      <c r="X54" s="1436"/>
      <c r="Y54" s="1436"/>
      <c r="Z54" s="1436"/>
      <c r="AA54" s="1436"/>
      <c r="AB54" s="1436"/>
      <c r="AC54" s="1436"/>
      <c r="AD54" s="1436"/>
      <c r="AE54" s="1436"/>
      <c r="AF54" s="576"/>
      <c r="AG54" s="576"/>
      <c r="AH54" s="576"/>
      <c r="AI54" s="576"/>
      <c r="AJ54" s="576"/>
      <c r="AK54" s="576"/>
      <c r="AL54" s="575"/>
      <c r="AM54" s="575"/>
      <c r="AN54" s="575"/>
      <c r="AO54" s="575"/>
      <c r="AP54" s="572"/>
      <c r="AQ54" s="572"/>
      <c r="AR54" s="1434">
        <f>'Проверочная  таблица'!IA38</f>
        <v>145678877.52999997</v>
      </c>
      <c r="AS54" s="1433"/>
      <c r="AT54" s="1433"/>
      <c r="AU54" s="1433"/>
      <c r="AV54" s="1433"/>
      <c r="AW54" s="1435"/>
      <c r="AX54" s="1435"/>
      <c r="AY54" s="1435"/>
      <c r="AZ54" s="1435"/>
      <c r="BA54" s="1435"/>
      <c r="BB54" s="1435"/>
      <c r="BC54" s="1435"/>
      <c r="BD54" s="1435"/>
      <c r="BE54" s="1435"/>
      <c r="BF54" s="1435"/>
      <c r="BG54" s="1435"/>
      <c r="BH54" s="1435"/>
      <c r="BI54" s="1435"/>
    </row>
    <row r="55" spans="1:61" ht="21" customHeight="1" x14ac:dyDescent="0.25">
      <c r="A55" s="571" t="s">
        <v>834</v>
      </c>
      <c r="B55" s="1433"/>
      <c r="C55" s="1433"/>
      <c r="D55" s="1433"/>
      <c r="E55" s="1433"/>
      <c r="F55" s="1433"/>
      <c r="G55" s="1433"/>
      <c r="H55" s="1433"/>
      <c r="I55" s="572"/>
      <c r="J55" s="572"/>
      <c r="K55" s="572"/>
      <c r="L55" s="572"/>
      <c r="M55" s="572"/>
      <c r="N55" s="1434">
        <f>'Проверочная  таблица'!NR38</f>
        <v>164579708.91999999</v>
      </c>
      <c r="O55" s="1434"/>
      <c r="P55" s="1434"/>
      <c r="Q55" s="1434"/>
      <c r="R55" s="1434"/>
      <c r="S55" s="1434"/>
      <c r="T55" s="1434"/>
      <c r="U55" s="1434"/>
      <c r="V55" s="1434"/>
      <c r="W55" s="1434"/>
      <c r="X55" s="1434"/>
      <c r="Y55" s="1434"/>
      <c r="Z55" s="1434"/>
      <c r="AA55" s="1434"/>
      <c r="AB55" s="1434"/>
      <c r="AC55" s="1434"/>
      <c r="AD55" s="1434"/>
      <c r="AE55" s="1434"/>
      <c r="AF55" s="573"/>
      <c r="AG55" s="573"/>
      <c r="AH55" s="573"/>
      <c r="AI55" s="573"/>
      <c r="AJ55" s="573"/>
      <c r="AK55" s="573"/>
      <c r="AL55" s="572"/>
      <c r="AM55" s="572"/>
      <c r="AN55" s="572"/>
      <c r="AO55" s="572"/>
      <c r="AP55" s="572"/>
      <c r="AQ55" s="572"/>
      <c r="AR55" s="1434">
        <f>'Проверочная  таблица'!NU38</f>
        <v>45274.409999999989</v>
      </c>
      <c r="AS55" s="1433"/>
      <c r="AT55" s="1433"/>
      <c r="AU55" s="1433"/>
      <c r="AV55" s="1433"/>
      <c r="AW55" s="1433"/>
      <c r="AX55" s="1433"/>
      <c r="AY55" s="1433"/>
      <c r="AZ55" s="1433"/>
      <c r="BA55" s="1433"/>
      <c r="BB55" s="1433"/>
      <c r="BC55" s="1433"/>
      <c r="BD55" s="1433"/>
      <c r="BE55" s="1433"/>
      <c r="BF55" s="1433"/>
      <c r="BG55" s="1433"/>
      <c r="BH55" s="1433"/>
      <c r="BI55" s="1433"/>
    </row>
    <row r="56" spans="1:61" ht="21" customHeight="1" x14ac:dyDescent="0.25">
      <c r="A56" s="571" t="s">
        <v>835</v>
      </c>
      <c r="B56" s="1433"/>
      <c r="C56" s="1433"/>
      <c r="D56" s="1433"/>
      <c r="E56" s="1433"/>
      <c r="F56" s="1433"/>
      <c r="G56" s="1433"/>
      <c r="H56" s="1433"/>
      <c r="I56" s="572"/>
      <c r="J56" s="572"/>
      <c r="K56" s="572"/>
      <c r="L56" s="572"/>
      <c r="M56" s="572"/>
      <c r="N56" s="1434">
        <f>'Проверочная  таблица'!HD38</f>
        <v>123288200</v>
      </c>
      <c r="O56" s="1434"/>
      <c r="P56" s="1434"/>
      <c r="Q56" s="1434"/>
      <c r="R56" s="1434"/>
      <c r="S56" s="1434"/>
      <c r="T56" s="1434"/>
      <c r="U56" s="1434"/>
      <c r="V56" s="1434"/>
      <c r="W56" s="1434"/>
      <c r="X56" s="1434"/>
      <c r="Y56" s="1434"/>
      <c r="Z56" s="1434"/>
      <c r="AA56" s="1434"/>
      <c r="AB56" s="1434"/>
      <c r="AC56" s="1434"/>
      <c r="AD56" s="1434"/>
      <c r="AE56" s="1434"/>
      <c r="AF56" s="573"/>
      <c r="AG56" s="573"/>
      <c r="AH56" s="573"/>
      <c r="AI56" s="573"/>
      <c r="AJ56" s="573"/>
      <c r="AK56" s="573"/>
      <c r="AL56" s="572"/>
      <c r="AM56" s="572"/>
      <c r="AN56" s="572"/>
      <c r="AO56" s="572"/>
      <c r="AP56" s="572"/>
      <c r="AQ56" s="572"/>
      <c r="AR56" s="1434">
        <f>'Проверочная  таблица'!HF38</f>
        <v>83537191.079999998</v>
      </c>
      <c r="AS56" s="1433"/>
      <c r="AT56" s="1433"/>
      <c r="AU56" s="1433"/>
      <c r="AV56" s="1433"/>
      <c r="AW56" s="1433"/>
      <c r="AX56" s="1433"/>
      <c r="AY56" s="1433"/>
      <c r="AZ56" s="1433"/>
      <c r="BA56" s="1433"/>
      <c r="BB56" s="1433"/>
      <c r="BC56" s="1433"/>
      <c r="BD56" s="1433"/>
      <c r="BE56" s="1433"/>
      <c r="BF56" s="1433"/>
      <c r="BG56" s="1433"/>
      <c r="BH56" s="1433"/>
      <c r="BI56" s="1433"/>
    </row>
    <row r="57" spans="1:61" ht="21" customHeight="1" x14ac:dyDescent="0.25">
      <c r="A57" s="571" t="s">
        <v>836</v>
      </c>
      <c r="B57" s="1433"/>
      <c r="C57" s="1433"/>
      <c r="D57" s="1433"/>
      <c r="E57" s="1433"/>
      <c r="F57" s="1433"/>
      <c r="G57" s="1433"/>
      <c r="H57" s="1433"/>
      <c r="I57" s="572"/>
      <c r="J57" s="572"/>
      <c r="K57" s="572"/>
      <c r="L57" s="572"/>
      <c r="M57" s="572"/>
      <c r="N57" s="1434">
        <f>'Проверочная  таблица'!OZ38</f>
        <v>281107380.46999997</v>
      </c>
      <c r="O57" s="1434"/>
      <c r="P57" s="1434"/>
      <c r="Q57" s="1434"/>
      <c r="R57" s="1434"/>
      <c r="S57" s="1434"/>
      <c r="T57" s="1434"/>
      <c r="U57" s="1434"/>
      <c r="V57" s="1434"/>
      <c r="W57" s="1434"/>
      <c r="X57" s="1434"/>
      <c r="Y57" s="1434"/>
      <c r="Z57" s="1434"/>
      <c r="AA57" s="1434"/>
      <c r="AB57" s="1434"/>
      <c r="AC57" s="1434"/>
      <c r="AD57" s="1434"/>
      <c r="AE57" s="1434"/>
      <c r="AF57" s="573"/>
      <c r="AG57" s="573"/>
      <c r="AH57" s="573"/>
      <c r="AI57" s="573"/>
      <c r="AJ57" s="573"/>
      <c r="AK57" s="573"/>
      <c r="AL57" s="572"/>
      <c r="AM57" s="572"/>
      <c r="AN57" s="572"/>
      <c r="AO57" s="572"/>
      <c r="AP57" s="572"/>
      <c r="AQ57" s="572"/>
      <c r="AR57" s="1434">
        <f>'Проверочная  таблица'!PD38</f>
        <v>107788573.53999999</v>
      </c>
      <c r="AS57" s="1433"/>
      <c r="AT57" s="1433"/>
      <c r="AU57" s="1433"/>
      <c r="AV57" s="1433"/>
      <c r="AW57" s="1433"/>
      <c r="AX57" s="1433"/>
      <c r="AY57" s="1433"/>
      <c r="AZ57" s="1433"/>
      <c r="BA57" s="1433"/>
      <c r="BB57" s="1433"/>
      <c r="BC57" s="1433"/>
      <c r="BD57" s="1433"/>
      <c r="BE57" s="1433"/>
      <c r="BF57" s="1433"/>
      <c r="BG57" s="1433"/>
      <c r="BH57" s="1433"/>
      <c r="BI57" s="1433"/>
    </row>
    <row r="58" spans="1:61" ht="21" customHeight="1" x14ac:dyDescent="0.25">
      <c r="A58" s="571" t="s">
        <v>837</v>
      </c>
      <c r="B58" s="1433"/>
      <c r="C58" s="1433"/>
      <c r="D58" s="1433"/>
      <c r="E58" s="1433"/>
      <c r="F58" s="1433"/>
      <c r="G58" s="1433"/>
      <c r="H58" s="1433"/>
      <c r="I58" s="572"/>
      <c r="J58" s="572"/>
      <c r="K58" s="572"/>
      <c r="L58" s="572"/>
      <c r="M58" s="572"/>
      <c r="N58" s="1434">
        <f>'Проверочная  таблица'!QH38</f>
        <v>6360592.71</v>
      </c>
      <c r="O58" s="1434"/>
      <c r="P58" s="1434"/>
      <c r="Q58" s="1434"/>
      <c r="R58" s="1434"/>
      <c r="S58" s="1434"/>
      <c r="T58" s="1434"/>
      <c r="U58" s="1434"/>
      <c r="V58" s="1434"/>
      <c r="W58" s="1434"/>
      <c r="X58" s="1434"/>
      <c r="Y58" s="1434"/>
      <c r="Z58" s="1434"/>
      <c r="AA58" s="1434"/>
      <c r="AB58" s="1434"/>
      <c r="AC58" s="1434"/>
      <c r="AD58" s="1434"/>
      <c r="AE58" s="1434"/>
      <c r="AF58" s="573"/>
      <c r="AG58" s="573"/>
      <c r="AH58" s="573"/>
      <c r="AI58" s="573"/>
      <c r="AJ58" s="573"/>
      <c r="AK58" s="573"/>
      <c r="AL58" s="572"/>
      <c r="AM58" s="572"/>
      <c r="AN58" s="572"/>
      <c r="AO58" s="572"/>
      <c r="AP58" s="572"/>
      <c r="AQ58" s="572"/>
      <c r="AR58" s="1434">
        <f>'Проверочная  таблица'!QK38</f>
        <v>1248022.27</v>
      </c>
      <c r="AS58" s="1433"/>
      <c r="AT58" s="1433"/>
      <c r="AU58" s="1433"/>
      <c r="AV58" s="1433"/>
      <c r="AW58" s="1433"/>
      <c r="AX58" s="1433"/>
      <c r="AY58" s="1433"/>
      <c r="AZ58" s="1433"/>
      <c r="BA58" s="1433"/>
      <c r="BB58" s="1433"/>
      <c r="BC58" s="1433"/>
      <c r="BD58" s="1433"/>
      <c r="BE58" s="1433"/>
      <c r="BF58" s="1433"/>
      <c r="BG58" s="1433"/>
      <c r="BH58" s="1433"/>
      <c r="BI58" s="1433"/>
    </row>
    <row r="59" spans="1:61" ht="21" customHeight="1" x14ac:dyDescent="0.25">
      <c r="A59" s="571" t="s">
        <v>838</v>
      </c>
      <c r="B59" s="1433"/>
      <c r="C59" s="1433"/>
      <c r="D59" s="1433"/>
      <c r="E59" s="1433"/>
      <c r="F59" s="1433"/>
      <c r="G59" s="1433"/>
      <c r="H59" s="1433"/>
      <c r="I59" s="572"/>
      <c r="J59" s="572"/>
      <c r="K59" s="572"/>
      <c r="L59" s="572"/>
      <c r="M59" s="572"/>
      <c r="N59" s="1434">
        <f>'Проверочная  таблица'!TL38</f>
        <v>110602710.74000001</v>
      </c>
      <c r="O59" s="1434"/>
      <c r="P59" s="1434"/>
      <c r="Q59" s="1434"/>
      <c r="R59" s="1434"/>
      <c r="S59" s="1434"/>
      <c r="T59" s="1434"/>
      <c r="U59" s="1434"/>
      <c r="V59" s="1434"/>
      <c r="W59" s="1434"/>
      <c r="X59" s="1434"/>
      <c r="Y59" s="1434"/>
      <c r="Z59" s="1434"/>
      <c r="AA59" s="1434"/>
      <c r="AB59" s="1434"/>
      <c r="AC59" s="1434"/>
      <c r="AD59" s="1434"/>
      <c r="AE59" s="1434"/>
      <c r="AF59" s="573"/>
      <c r="AG59" s="573"/>
      <c r="AH59" s="573"/>
      <c r="AI59" s="573"/>
      <c r="AJ59" s="573"/>
      <c r="AK59" s="573"/>
      <c r="AL59" s="572"/>
      <c r="AM59" s="572"/>
      <c r="AN59" s="572"/>
      <c r="AO59" s="572"/>
      <c r="AP59" s="572"/>
      <c r="AQ59" s="572"/>
      <c r="AR59" s="1434">
        <f>'Проверочная  таблица'!TS38</f>
        <v>21380391.789999999</v>
      </c>
      <c r="AS59" s="1433"/>
      <c r="AT59" s="1433"/>
      <c r="AU59" s="1433"/>
      <c r="AV59" s="1433"/>
      <c r="AW59" s="1433"/>
      <c r="AX59" s="1433"/>
      <c r="AY59" s="1433"/>
      <c r="AZ59" s="1433"/>
      <c r="BA59" s="1433"/>
      <c r="BB59" s="1433"/>
      <c r="BC59" s="1433"/>
      <c r="BD59" s="1433"/>
      <c r="BE59" s="1433"/>
      <c r="BF59" s="1433"/>
      <c r="BG59" s="1433"/>
      <c r="BH59" s="1433"/>
      <c r="BI59" s="1433"/>
    </row>
    <row r="60" spans="1:61" ht="21" customHeight="1" x14ac:dyDescent="0.25">
      <c r="A60" s="1687" t="s">
        <v>839</v>
      </c>
      <c r="B60" s="1687"/>
      <c r="C60" s="1687"/>
      <c r="D60" s="1687"/>
      <c r="E60" s="1687"/>
      <c r="F60" s="1687"/>
      <c r="G60" s="1687"/>
      <c r="H60" s="1687"/>
      <c r="I60" s="1687"/>
      <c r="J60" s="1687"/>
      <c r="K60" s="1687"/>
      <c r="L60" s="1687"/>
      <c r="M60" s="572"/>
      <c r="N60" s="1434">
        <f>'Проверочная  таблица'!DJ38</f>
        <v>19567142.100000001</v>
      </c>
      <c r="O60" s="1434"/>
      <c r="P60" s="1434"/>
      <c r="Q60" s="1434"/>
      <c r="R60" s="1434"/>
      <c r="S60" s="1434"/>
      <c r="T60" s="1434"/>
      <c r="U60" s="1434"/>
      <c r="V60" s="1434"/>
      <c r="W60" s="1434"/>
      <c r="X60" s="1434"/>
      <c r="Y60" s="1434"/>
      <c r="Z60" s="1434"/>
      <c r="AA60" s="1434"/>
      <c r="AB60" s="1434"/>
      <c r="AC60" s="1434"/>
      <c r="AD60" s="1434"/>
      <c r="AE60" s="1434"/>
      <c r="AF60" s="573"/>
      <c r="AG60" s="573"/>
      <c r="AH60" s="573"/>
      <c r="AI60" s="573"/>
      <c r="AJ60" s="573"/>
      <c r="AK60" s="573"/>
      <c r="AL60" s="572"/>
      <c r="AM60" s="572"/>
      <c r="AN60" s="572"/>
      <c r="AO60" s="572"/>
      <c r="AP60" s="572"/>
      <c r="AQ60" s="572"/>
      <c r="AR60" s="1434">
        <f>'Проверочная  таблица'!DM38</f>
        <v>0</v>
      </c>
      <c r="AS60" s="1433"/>
      <c r="AT60" s="1433"/>
      <c r="AU60" s="1433"/>
      <c r="AV60" s="1433"/>
      <c r="AW60" s="1433"/>
      <c r="AX60" s="1433"/>
      <c r="AY60" s="1433"/>
      <c r="AZ60" s="1433"/>
      <c r="BA60" s="1433"/>
      <c r="BB60" s="1433"/>
      <c r="BC60" s="1433"/>
      <c r="BD60" s="1433"/>
      <c r="BE60" s="1433"/>
      <c r="BF60" s="1433"/>
      <c r="BG60" s="1433"/>
      <c r="BH60" s="1433"/>
      <c r="BI60" s="1433"/>
    </row>
    <row r="61" spans="1:61" ht="21" customHeight="1" x14ac:dyDescent="0.25">
      <c r="A61" s="579" t="s">
        <v>1283</v>
      </c>
      <c r="B61" s="1212"/>
      <c r="C61" s="1212"/>
      <c r="D61" s="1212"/>
      <c r="E61" s="1212"/>
      <c r="F61" s="1212"/>
      <c r="G61" s="1212"/>
      <c r="H61" s="1212"/>
      <c r="I61" s="1212"/>
      <c r="J61" s="1212"/>
      <c r="K61" s="1212"/>
      <c r="L61" s="1212"/>
      <c r="M61" s="572"/>
      <c r="N61" s="1434">
        <f>'Проверочная  таблица'!GL38</f>
        <v>87446506</v>
      </c>
      <c r="O61" s="1434"/>
      <c r="P61" s="1434"/>
      <c r="Q61" s="1434"/>
      <c r="R61" s="1434"/>
      <c r="S61" s="1434"/>
      <c r="T61" s="1434"/>
      <c r="U61" s="1434"/>
      <c r="V61" s="1434"/>
      <c r="W61" s="1434"/>
      <c r="X61" s="1434"/>
      <c r="Y61" s="1434"/>
      <c r="Z61" s="1434"/>
      <c r="AA61" s="1434"/>
      <c r="AB61" s="1434"/>
      <c r="AC61" s="1434"/>
      <c r="AD61" s="1434"/>
      <c r="AE61" s="1434"/>
      <c r="AF61" s="573"/>
      <c r="AG61" s="573"/>
      <c r="AH61" s="573"/>
      <c r="AI61" s="573"/>
      <c r="AJ61" s="573"/>
      <c r="AK61" s="573"/>
      <c r="AL61" s="572"/>
      <c r="AM61" s="572"/>
      <c r="AN61" s="572"/>
      <c r="AO61" s="572"/>
      <c r="AP61" s="572"/>
      <c r="AQ61" s="572"/>
      <c r="AR61" s="1434">
        <f>'Проверочная  таблица'!GO38</f>
        <v>0</v>
      </c>
      <c r="AS61" s="1433"/>
      <c r="AT61" s="1433"/>
      <c r="AU61" s="1433"/>
      <c r="AV61" s="1433"/>
      <c r="AW61" s="1433"/>
      <c r="AX61" s="1433"/>
      <c r="AY61" s="1433"/>
      <c r="AZ61" s="1433"/>
      <c r="BA61" s="1433"/>
      <c r="BB61" s="1433"/>
      <c r="BC61" s="1433"/>
      <c r="BD61" s="1433"/>
      <c r="BE61" s="1433"/>
      <c r="BF61" s="1433"/>
      <c r="BG61" s="1433"/>
      <c r="BH61" s="1433"/>
      <c r="BI61" s="1433"/>
    </row>
    <row r="62" spans="1:61" ht="21" customHeight="1" x14ac:dyDescent="0.25">
      <c r="A62" s="579" t="s">
        <v>1291</v>
      </c>
      <c r="B62" s="1212"/>
      <c r="C62" s="1212"/>
      <c r="D62" s="1212"/>
      <c r="E62" s="1212"/>
      <c r="F62" s="1212"/>
      <c r="G62" s="1212"/>
      <c r="H62" s="1212"/>
      <c r="I62" s="1212"/>
      <c r="J62" s="1212"/>
      <c r="K62" s="1212"/>
      <c r="L62" s="1212"/>
      <c r="M62" s="572"/>
      <c r="N62" s="1434">
        <f>'Проверочная  таблица'!IV38</f>
        <v>2631578.9500000002</v>
      </c>
      <c r="O62" s="1434"/>
      <c r="P62" s="1434"/>
      <c r="Q62" s="1434"/>
      <c r="R62" s="1434"/>
      <c r="S62" s="1434"/>
      <c r="T62" s="1434"/>
      <c r="U62" s="1434"/>
      <c r="V62" s="1434"/>
      <c r="W62" s="1434"/>
      <c r="X62" s="1434"/>
      <c r="Y62" s="1434"/>
      <c r="Z62" s="1434"/>
      <c r="AA62" s="1434"/>
      <c r="AB62" s="1434"/>
      <c r="AC62" s="1434"/>
      <c r="AD62" s="1434"/>
      <c r="AE62" s="1434"/>
      <c r="AF62" s="573"/>
      <c r="AG62" s="573"/>
      <c r="AH62" s="573"/>
      <c r="AI62" s="573"/>
      <c r="AJ62" s="573"/>
      <c r="AK62" s="573"/>
      <c r="AL62" s="572"/>
      <c r="AM62" s="572"/>
      <c r="AN62" s="572"/>
      <c r="AO62" s="572"/>
      <c r="AP62" s="572"/>
      <c r="AQ62" s="572"/>
      <c r="AR62" s="1434">
        <f>'Проверочная  таблица'!IY38</f>
        <v>0</v>
      </c>
      <c r="AS62" s="1433"/>
      <c r="AT62" s="1433"/>
      <c r="AU62" s="1433"/>
      <c r="AV62" s="1433"/>
      <c r="AW62" s="1433"/>
      <c r="AX62" s="1433"/>
      <c r="AY62" s="1433"/>
      <c r="AZ62" s="1433"/>
      <c r="BA62" s="1433"/>
      <c r="BB62" s="1433"/>
      <c r="BC62" s="1433"/>
      <c r="BD62" s="1433"/>
      <c r="BE62" s="1433"/>
      <c r="BF62" s="1433"/>
      <c r="BG62" s="1433"/>
      <c r="BH62" s="1433"/>
      <c r="BI62" s="1433"/>
    </row>
    <row r="63" spans="1:61" ht="33.6" customHeight="1" x14ac:dyDescent="0.25">
      <c r="A63" s="1687" t="s">
        <v>840</v>
      </c>
      <c r="B63" s="1687"/>
      <c r="C63" s="1687"/>
      <c r="D63" s="1687"/>
      <c r="E63" s="1687"/>
      <c r="F63" s="1687"/>
      <c r="G63" s="1687"/>
      <c r="H63" s="1687"/>
      <c r="I63" s="1687"/>
      <c r="J63" s="1687"/>
      <c r="K63" s="1687"/>
      <c r="L63" s="1687"/>
      <c r="M63" s="572"/>
      <c r="N63" s="1434">
        <f>'Проверочная  таблица'!JX38</f>
        <v>18358.319999999985</v>
      </c>
      <c r="O63" s="1434"/>
      <c r="P63" s="1434"/>
      <c r="Q63" s="1434"/>
      <c r="R63" s="1434"/>
      <c r="S63" s="1434"/>
      <c r="T63" s="1434"/>
      <c r="U63" s="1434"/>
      <c r="V63" s="1434"/>
      <c r="W63" s="1434"/>
      <c r="X63" s="1434"/>
      <c r="Y63" s="1434"/>
      <c r="Z63" s="1434"/>
      <c r="AA63" s="1434"/>
      <c r="AB63" s="1434"/>
      <c r="AC63" s="1434"/>
      <c r="AD63" s="1434"/>
      <c r="AE63" s="1434"/>
      <c r="AF63" s="573"/>
      <c r="AG63" s="573"/>
      <c r="AH63" s="573"/>
      <c r="AI63" s="573"/>
      <c r="AJ63" s="573"/>
      <c r="AK63" s="573"/>
      <c r="AL63" s="572"/>
      <c r="AM63" s="572"/>
      <c r="AN63" s="572"/>
      <c r="AO63" s="572"/>
      <c r="AP63" s="572"/>
      <c r="AQ63" s="572"/>
      <c r="AR63" s="1434">
        <f>'Проверочная  таблица'!KA38</f>
        <v>0</v>
      </c>
      <c r="AS63" s="1433"/>
      <c r="AT63" s="1433"/>
      <c r="AU63" s="1433"/>
      <c r="AV63" s="1433"/>
      <c r="AW63" s="1433"/>
      <c r="AX63" s="1433"/>
      <c r="AY63" s="1433"/>
      <c r="AZ63" s="1433"/>
      <c r="BA63" s="1433"/>
      <c r="BB63" s="1433"/>
      <c r="BC63" s="1433"/>
      <c r="BD63" s="1433"/>
      <c r="BE63" s="1433"/>
      <c r="BF63" s="1433"/>
      <c r="BG63" s="1433"/>
      <c r="BH63" s="1433"/>
      <c r="BI63" s="1433"/>
    </row>
    <row r="64" spans="1:61" ht="20.45" customHeight="1" x14ac:dyDescent="0.25">
      <c r="A64" s="579" t="s">
        <v>841</v>
      </c>
      <c r="B64" s="579"/>
      <c r="C64" s="579"/>
      <c r="D64" s="579"/>
      <c r="E64" s="579"/>
      <c r="F64" s="579"/>
      <c r="G64" s="579"/>
      <c r="H64" s="579"/>
      <c r="I64" s="579"/>
      <c r="J64" s="579"/>
      <c r="K64" s="579"/>
      <c r="L64" s="1212"/>
      <c r="M64" s="572"/>
      <c r="N64" s="1434">
        <f>'Проверочная  таблица'!RL38</f>
        <v>0</v>
      </c>
      <c r="O64" s="1434"/>
      <c r="P64" s="1434"/>
      <c r="Q64" s="1434"/>
      <c r="R64" s="1434"/>
      <c r="S64" s="1434"/>
      <c r="T64" s="1434"/>
      <c r="U64" s="1434"/>
      <c r="V64" s="1434"/>
      <c r="W64" s="1434"/>
      <c r="X64" s="1434"/>
      <c r="Y64" s="1434"/>
      <c r="Z64" s="1434"/>
      <c r="AA64" s="1434"/>
      <c r="AB64" s="1434"/>
      <c r="AC64" s="1434"/>
      <c r="AD64" s="1434"/>
      <c r="AE64" s="1434"/>
      <c r="AF64" s="573"/>
      <c r="AG64" s="573"/>
      <c r="AH64" s="573"/>
      <c r="AI64" s="573"/>
      <c r="AJ64" s="573"/>
      <c r="AK64" s="573"/>
      <c r="AL64" s="572"/>
      <c r="AM64" s="572"/>
      <c r="AN64" s="572"/>
      <c r="AO64" s="572"/>
      <c r="AP64" s="572"/>
      <c r="AQ64" s="572"/>
      <c r="AR64" s="1434">
        <f>'Проверочная  таблица'!RO38</f>
        <v>0</v>
      </c>
      <c r="AS64" s="1433"/>
      <c r="AT64" s="1433"/>
      <c r="AU64" s="1433"/>
      <c r="AV64" s="1433"/>
      <c r="AW64" s="1433"/>
      <c r="AX64" s="1433"/>
      <c r="AY64" s="1433"/>
      <c r="AZ64" s="1433"/>
      <c r="BA64" s="1433"/>
      <c r="BB64" s="1433"/>
      <c r="BC64" s="1433"/>
      <c r="BD64" s="1433"/>
      <c r="BE64" s="1433"/>
      <c r="BF64" s="1433"/>
      <c r="BG64" s="1433"/>
      <c r="BH64" s="1433"/>
      <c r="BI64" s="1433"/>
    </row>
    <row r="65" spans="1:66" ht="21" customHeight="1" x14ac:dyDescent="0.25">
      <c r="A65" s="571" t="s">
        <v>842</v>
      </c>
      <c r="B65" s="1433"/>
      <c r="C65" s="1433"/>
      <c r="D65" s="1433"/>
      <c r="E65" s="1433"/>
      <c r="F65" s="1433"/>
      <c r="G65" s="1433"/>
      <c r="H65" s="1433"/>
      <c r="I65" s="572"/>
      <c r="J65" s="572"/>
      <c r="K65" s="572"/>
      <c r="L65" s="572"/>
      <c r="M65" s="572"/>
      <c r="N65" s="1434">
        <f>'Проверочная  таблица'!VD38</f>
        <v>187305903.59000003</v>
      </c>
      <c r="O65" s="1434"/>
      <c r="P65" s="1434"/>
      <c r="Q65" s="1434"/>
      <c r="R65" s="1434"/>
      <c r="S65" s="1434"/>
      <c r="T65" s="1434"/>
      <c r="U65" s="1434"/>
      <c r="V65" s="1434"/>
      <c r="W65" s="1434"/>
      <c r="X65" s="1434"/>
      <c r="Y65" s="1434"/>
      <c r="Z65" s="1434"/>
      <c r="AA65" s="1434"/>
      <c r="AB65" s="1434"/>
      <c r="AC65" s="1434"/>
      <c r="AD65" s="1434"/>
      <c r="AE65" s="1434"/>
      <c r="AF65" s="573"/>
      <c r="AG65" s="573"/>
      <c r="AH65" s="573"/>
      <c r="AI65" s="573"/>
      <c r="AJ65" s="573"/>
      <c r="AK65" s="573"/>
      <c r="AL65" s="572"/>
      <c r="AM65" s="572"/>
      <c r="AN65" s="572"/>
      <c r="AO65" s="572"/>
      <c r="AP65" s="572"/>
      <c r="AQ65" s="572"/>
      <c r="AR65" s="1434">
        <f>'Проверочная  таблица'!VE38</f>
        <v>33714991.949999996</v>
      </c>
      <c r="AS65" s="1433"/>
      <c r="AT65" s="1433"/>
      <c r="AU65" s="1433"/>
      <c r="AV65" s="1433"/>
      <c r="AW65" s="1433"/>
      <c r="AX65" s="1433"/>
      <c r="AY65" s="1433"/>
      <c r="AZ65" s="1433"/>
      <c r="BA65" s="1433"/>
      <c r="BB65" s="1433"/>
      <c r="BC65" s="1433"/>
      <c r="BD65" s="1433"/>
      <c r="BE65" s="1433"/>
      <c r="BF65" s="1433"/>
      <c r="BG65" s="1433"/>
      <c r="BH65" s="1433"/>
      <c r="BI65" s="1433"/>
    </row>
    <row r="66" spans="1:66" ht="21" customHeight="1" x14ac:dyDescent="0.25">
      <c r="A66" s="571" t="s">
        <v>843</v>
      </c>
      <c r="B66" s="1433"/>
      <c r="C66" s="1433"/>
      <c r="D66" s="1433"/>
      <c r="E66" s="1433"/>
      <c r="F66" s="1433"/>
      <c r="G66" s="1433"/>
      <c r="H66" s="1433"/>
      <c r="I66" s="572"/>
      <c r="J66" s="572"/>
      <c r="K66" s="572"/>
      <c r="L66" s="572"/>
      <c r="M66" s="572"/>
      <c r="N66" s="1434">
        <f>'Проверочная  таблица'!VV38</f>
        <v>36969300</v>
      </c>
      <c r="O66" s="1434"/>
      <c r="P66" s="1434"/>
      <c r="Q66" s="1434"/>
      <c r="R66" s="1434"/>
      <c r="S66" s="1434"/>
      <c r="T66" s="1434"/>
      <c r="U66" s="1434"/>
      <c r="V66" s="1434"/>
      <c r="W66" s="1434"/>
      <c r="X66" s="1434"/>
      <c r="Y66" s="1434"/>
      <c r="Z66" s="1434"/>
      <c r="AA66" s="1434"/>
      <c r="AB66" s="1434"/>
      <c r="AC66" s="1434"/>
      <c r="AD66" s="1434"/>
      <c r="AE66" s="1434"/>
      <c r="AF66" s="573"/>
      <c r="AG66" s="573"/>
      <c r="AH66" s="573"/>
      <c r="AI66" s="573"/>
      <c r="AJ66" s="573"/>
      <c r="AK66" s="573"/>
      <c r="AL66" s="572"/>
      <c r="AM66" s="572"/>
      <c r="AN66" s="572"/>
      <c r="AO66" s="572"/>
      <c r="AP66" s="572"/>
      <c r="AQ66" s="572"/>
      <c r="AR66" s="1434">
        <f>'Проверочная  таблица'!VW38</f>
        <v>14961629.73</v>
      </c>
      <c r="AS66" s="1433"/>
      <c r="AT66" s="1433"/>
      <c r="AU66" s="1433"/>
      <c r="AV66" s="1433"/>
      <c r="AW66" s="1433"/>
      <c r="AX66" s="1433"/>
      <c r="AY66" s="1433"/>
      <c r="AZ66" s="1433"/>
      <c r="BA66" s="1433"/>
      <c r="BB66" s="1433"/>
      <c r="BC66" s="1433"/>
      <c r="BD66" s="1433"/>
      <c r="BE66" s="1433"/>
      <c r="BF66" s="1433"/>
      <c r="BG66" s="1433"/>
      <c r="BH66" s="1433"/>
      <c r="BI66" s="1433"/>
    </row>
    <row r="67" spans="1:66" ht="36" customHeight="1" x14ac:dyDescent="0.25">
      <c r="A67" s="1687" t="s">
        <v>844</v>
      </c>
      <c r="B67" s="1687"/>
      <c r="C67" s="1687"/>
      <c r="D67" s="1687"/>
      <c r="E67" s="1687"/>
      <c r="F67" s="1687"/>
      <c r="G67" s="1687"/>
      <c r="H67" s="1687"/>
      <c r="I67" s="1687"/>
      <c r="J67" s="1687"/>
      <c r="K67" s="1687"/>
      <c r="L67" s="1687"/>
      <c r="M67" s="580"/>
      <c r="N67" s="1437">
        <f>'Проверочная  таблица'!XP38</f>
        <v>240950249.07999998</v>
      </c>
      <c r="O67" s="1437"/>
      <c r="P67" s="1437"/>
      <c r="Q67" s="1437"/>
      <c r="R67" s="1437"/>
      <c r="S67" s="1437"/>
      <c r="T67" s="1437"/>
      <c r="U67" s="1437"/>
      <c r="V67" s="1437"/>
      <c r="W67" s="1437"/>
      <c r="X67" s="1437"/>
      <c r="Y67" s="1437"/>
      <c r="Z67" s="1437"/>
      <c r="AA67" s="1437"/>
      <c r="AB67" s="1437"/>
      <c r="AC67" s="1437"/>
      <c r="AD67" s="1437"/>
      <c r="AE67" s="1437"/>
      <c r="AF67" s="581"/>
      <c r="AG67" s="581"/>
      <c r="AH67" s="581"/>
      <c r="AI67" s="581"/>
      <c r="AJ67" s="581"/>
      <c r="AK67" s="581"/>
      <c r="AL67" s="580"/>
      <c r="AM67" s="580"/>
      <c r="AN67" s="580"/>
      <c r="AO67" s="580"/>
      <c r="AP67" s="580"/>
      <c r="AQ67" s="580"/>
      <c r="AR67" s="1437">
        <f>'Проверочная  таблица'!XR38</f>
        <v>7504113.5299999993</v>
      </c>
      <c r="AS67" s="1438"/>
      <c r="AT67" s="1438"/>
      <c r="AU67" s="1438"/>
      <c r="AV67" s="1438"/>
      <c r="AW67" s="1433"/>
      <c r="AX67" s="1433"/>
      <c r="AY67" s="1433"/>
      <c r="AZ67" s="1433"/>
      <c r="BA67" s="1433"/>
      <c r="BB67" s="1433"/>
      <c r="BC67" s="1433"/>
      <c r="BD67" s="1433"/>
      <c r="BE67" s="1433"/>
      <c r="BF67" s="1433"/>
      <c r="BG67" s="1433"/>
      <c r="BH67" s="1433"/>
      <c r="BI67" s="1433"/>
    </row>
    <row r="68" spans="1:66" ht="21" customHeight="1" x14ac:dyDescent="0.25">
      <c r="A68" s="582" t="s">
        <v>845</v>
      </c>
      <c r="B68" s="1438"/>
      <c r="C68" s="1438"/>
      <c r="D68" s="1438"/>
      <c r="E68" s="1438"/>
      <c r="F68" s="1438"/>
      <c r="G68" s="1438"/>
      <c r="H68" s="1438"/>
      <c r="I68" s="580"/>
      <c r="J68" s="580"/>
      <c r="K68" s="580"/>
      <c r="L68" s="580"/>
      <c r="M68" s="580"/>
      <c r="N68" s="1437">
        <f>'Проверочная  таблица'!YT38</f>
        <v>397610898.35000002</v>
      </c>
      <c r="O68" s="1437"/>
      <c r="P68" s="1437"/>
      <c r="Q68" s="1437"/>
      <c r="R68" s="1437"/>
      <c r="S68" s="1437"/>
      <c r="T68" s="1437"/>
      <c r="U68" s="1437"/>
      <c r="V68" s="1437"/>
      <c r="W68" s="1437"/>
      <c r="X68" s="1437"/>
      <c r="Y68" s="1437"/>
      <c r="Z68" s="1437"/>
      <c r="AA68" s="1437"/>
      <c r="AB68" s="1437"/>
      <c r="AC68" s="1437"/>
      <c r="AD68" s="1437"/>
      <c r="AE68" s="1437"/>
      <c r="AF68" s="581"/>
      <c r="AG68" s="581"/>
      <c r="AH68" s="581"/>
      <c r="AI68" s="581"/>
      <c r="AJ68" s="581"/>
      <c r="AK68" s="581"/>
      <c r="AL68" s="580"/>
      <c r="AM68" s="580"/>
      <c r="AN68" s="580"/>
      <c r="AO68" s="580"/>
      <c r="AP68" s="580"/>
      <c r="AQ68" s="580"/>
      <c r="AR68" s="1437">
        <f>'Проверочная  таблица'!YZ38</f>
        <v>91489149.129999995</v>
      </c>
      <c r="AS68" s="1438"/>
      <c r="AT68" s="1438"/>
      <c r="AU68" s="1438"/>
      <c r="AV68" s="1438"/>
      <c r="AW68" s="1433"/>
      <c r="AX68" s="1433"/>
      <c r="AY68" s="1433"/>
      <c r="AZ68" s="1433"/>
      <c r="BA68" s="1433"/>
      <c r="BB68" s="1433"/>
      <c r="BC68" s="1433"/>
      <c r="BD68" s="1433"/>
      <c r="BE68" s="1433"/>
      <c r="BF68" s="1433"/>
      <c r="BG68" s="1433"/>
      <c r="BH68" s="1433"/>
      <c r="BI68" s="1433"/>
    </row>
    <row r="69" spans="1:66" ht="21" customHeight="1" x14ac:dyDescent="0.25">
      <c r="A69" s="583" t="s">
        <v>423</v>
      </c>
      <c r="B69" s="23"/>
      <c r="C69" s="23"/>
      <c r="D69" s="23"/>
      <c r="E69" s="23"/>
      <c r="F69" s="23"/>
      <c r="G69" s="23"/>
      <c r="H69" s="23"/>
      <c r="I69" s="583"/>
      <c r="J69" s="583"/>
      <c r="K69" s="583"/>
      <c r="L69" s="583"/>
      <c r="M69" s="583"/>
      <c r="N69" s="1439">
        <f>SUM(N44:N68)-N36</f>
        <v>0</v>
      </c>
      <c r="O69" s="1439"/>
      <c r="P69" s="1439"/>
      <c r="Q69" s="1439"/>
      <c r="R69" s="1439"/>
      <c r="S69" s="1439"/>
      <c r="T69" s="1439"/>
      <c r="U69" s="1439"/>
      <c r="V69" s="1439"/>
      <c r="W69" s="1439"/>
      <c r="X69" s="1439"/>
      <c r="Y69" s="1439"/>
      <c r="Z69" s="1439"/>
      <c r="AA69" s="1439"/>
      <c r="AB69" s="1439"/>
      <c r="AC69" s="1439"/>
      <c r="AD69" s="1439"/>
      <c r="AE69" s="1439"/>
      <c r="AF69" s="23"/>
      <c r="AG69" s="23"/>
      <c r="AH69" s="23"/>
      <c r="AI69" s="23"/>
      <c r="AJ69" s="23"/>
      <c r="AK69" s="23"/>
      <c r="AL69" s="583"/>
      <c r="AM69" s="583"/>
      <c r="AN69" s="583"/>
      <c r="AO69" s="583"/>
      <c r="AP69" s="583"/>
      <c r="AQ69" s="583"/>
      <c r="AR69" s="1439">
        <f>SUM(AR44:AR68)-AR36</f>
        <v>0</v>
      </c>
      <c r="AS69" s="23"/>
      <c r="AT69" s="23"/>
      <c r="AU69" s="23"/>
      <c r="AV69" s="23"/>
      <c r="AW69" s="23"/>
    </row>
    <row r="73" spans="1:66" s="1440" customFormat="1" ht="47.25" x14ac:dyDescent="0.25">
      <c r="B73" s="584" t="s">
        <v>846</v>
      </c>
      <c r="C73" s="584" t="s">
        <v>847</v>
      </c>
      <c r="D73" s="210" t="s">
        <v>343</v>
      </c>
      <c r="E73" s="210" t="s">
        <v>344</v>
      </c>
      <c r="F73" s="210" t="s">
        <v>345</v>
      </c>
      <c r="H73" s="210" t="s">
        <v>346</v>
      </c>
      <c r="I73" s="210" t="s">
        <v>347</v>
      </c>
      <c r="J73" s="210" t="s">
        <v>348</v>
      </c>
      <c r="K73" s="210" t="s">
        <v>349</v>
      </c>
      <c r="L73" s="210" t="s">
        <v>350</v>
      </c>
      <c r="N73" s="210" t="s">
        <v>351</v>
      </c>
      <c r="O73" s="210" t="s">
        <v>352</v>
      </c>
      <c r="AF73" s="1441"/>
      <c r="AR73" s="1441"/>
      <c r="BK73" s="246"/>
      <c r="BL73" s="246"/>
      <c r="BM73" s="246"/>
      <c r="BN73" s="246"/>
    </row>
    <row r="74" spans="1:66" ht="15.75" x14ac:dyDescent="0.25">
      <c r="A74" s="585" t="s">
        <v>848</v>
      </c>
      <c r="B74" s="1442">
        <f>D74+F74+I74+K74+N74</f>
        <v>45228557.265039988</v>
      </c>
      <c r="C74" s="1442">
        <f>E74+H74+J74+L74+O74</f>
        <v>18438567.515249997</v>
      </c>
      <c r="D74" s="1443">
        <f>H33/1000</f>
        <v>22629108.36293</v>
      </c>
      <c r="E74" s="1443">
        <f>AL33/1000</f>
        <v>9583129.8037799988</v>
      </c>
      <c r="F74" s="1443">
        <f>H29/1000-N74</f>
        <v>14478206.372379996</v>
      </c>
      <c r="G74" s="1444"/>
      <c r="H74" s="1443">
        <f>AL29/1000-O74</f>
        <v>5953959.7086800002</v>
      </c>
      <c r="I74" s="1443">
        <f>Z36/1000</f>
        <v>2125260.0688399998</v>
      </c>
      <c r="J74" s="1443">
        <f>BD36/1000</f>
        <v>737501.42035000003</v>
      </c>
      <c r="K74" s="1443">
        <f>T36/1000</f>
        <v>1799347.3745100005</v>
      </c>
      <c r="L74" s="1443">
        <f>AX36/1000</f>
        <v>634293.89519000007</v>
      </c>
      <c r="N74" s="1443">
        <f>(H11+H15+H19+H24)/1000</f>
        <v>4196635.0863800002</v>
      </c>
      <c r="O74" s="1443">
        <f>(AL11+AL15+AL19+AL24)/1000</f>
        <v>1529682.68725</v>
      </c>
      <c r="P74" s="1440"/>
      <c r="Q74" s="1440"/>
      <c r="AF74" s="1426"/>
      <c r="AR74" s="1426"/>
    </row>
    <row r="75" spans="1:66" x14ac:dyDescent="0.25">
      <c r="A75" s="586"/>
      <c r="B75" s="587"/>
      <c r="C75" s="587"/>
      <c r="D75" s="588"/>
      <c r="E75" s="588"/>
      <c r="F75" s="588"/>
      <c r="G75" s="1444"/>
      <c r="H75" s="588"/>
      <c r="I75" s="588"/>
      <c r="J75" s="588"/>
      <c r="K75" s="588"/>
      <c r="L75" s="588"/>
      <c r="N75" s="588"/>
      <c r="O75" s="588"/>
      <c r="P75" s="1440"/>
      <c r="Q75" s="1440"/>
      <c r="AF75" s="1426"/>
      <c r="AR75" s="1426"/>
    </row>
    <row r="76" spans="1:66" ht="15.75" x14ac:dyDescent="0.25">
      <c r="A76" s="585" t="s">
        <v>849</v>
      </c>
      <c r="B76" s="1442">
        <f t="shared" ref="B76:B79" si="28">D76+F76+I76+K76+N76</f>
        <v>7740447.6308400016</v>
      </c>
      <c r="C76" s="1442">
        <f>E76+H76+J76+L76+O76</f>
        <v>3220096.3643299998</v>
      </c>
      <c r="D76" s="1443">
        <f>I33/1000</f>
        <v>4199910.4433000004</v>
      </c>
      <c r="E76" s="1443">
        <f>AM33/1000</f>
        <v>1637693.7459100001</v>
      </c>
      <c r="F76" s="1443">
        <f>(I29-I11-I15-I19-I24)/1000</f>
        <v>1080316.213</v>
      </c>
      <c r="G76" s="1444"/>
      <c r="H76" s="1443">
        <f>(AM29-AM11-AM15-AM19-AM24)/1000</f>
        <v>477932.03700000001</v>
      </c>
      <c r="I76" s="1443">
        <f>AA36/1000</f>
        <v>701362.05546000006</v>
      </c>
      <c r="J76" s="1443">
        <f>BE36/1000</f>
        <v>279914.63799999998</v>
      </c>
      <c r="K76" s="1443">
        <f>U36/1000</f>
        <v>1052660.1670800003</v>
      </c>
      <c r="L76" s="1443">
        <f>AY36/1000</f>
        <v>503253.94341999997</v>
      </c>
      <c r="N76" s="1443">
        <f>(I11+I15+I19+I24)/1000</f>
        <v>706198.75199999998</v>
      </c>
      <c r="O76" s="1443">
        <f>(AM11+AM15+AM19+AM24)/1000</f>
        <v>321302</v>
      </c>
      <c r="P76" s="1440"/>
      <c r="Q76" s="1440"/>
      <c r="AF76" s="1426"/>
      <c r="AR76" s="1426"/>
    </row>
    <row r="77" spans="1:66" ht="15.75" x14ac:dyDescent="0.25">
      <c r="A77" s="585" t="s">
        <v>850</v>
      </c>
      <c r="B77" s="1442">
        <f t="shared" si="28"/>
        <v>3404309.6968399999</v>
      </c>
      <c r="C77" s="1442">
        <f>E77+H77+J77+L77+O77</f>
        <v>1659749.8837600001</v>
      </c>
      <c r="D77" s="1445">
        <f>'Проверочная  таблица'!F35/1000</f>
        <v>1335521.1292999999</v>
      </c>
      <c r="E77" s="1445">
        <f>'Проверочная  таблица'!G35/1000</f>
        <v>625943.74590999994</v>
      </c>
      <c r="F77" s="1445">
        <f>'Проверочная  таблица'!F31/1000-N77</f>
        <v>803779.21300000011</v>
      </c>
      <c r="G77" s="1445"/>
      <c r="H77" s="1445">
        <f>'Проверочная  таблица'!G31/1000-O77</f>
        <v>418034.79000000004</v>
      </c>
      <c r="I77" s="1445">
        <f>'Проверочная  таблица'!L38/1000</f>
        <v>150186.06745999999</v>
      </c>
      <c r="J77" s="1445">
        <f>'Проверочная  таблица'!M38/1000</f>
        <v>75254.210000000006</v>
      </c>
      <c r="K77" s="1445">
        <f>'Проверочная  таблица'!J38/1000</f>
        <v>442904.53508</v>
      </c>
      <c r="L77" s="1445">
        <f>'Проверочная  таблица'!K38/1000</f>
        <v>228915.13785</v>
      </c>
      <c r="N77" s="1445">
        <f>('Проверочная  таблица'!F13+'Проверочная  таблица'!F14+'Проверочная  таблица'!F15+'Проверочная  таблица'!F16)/1000</f>
        <v>671918.75199999998</v>
      </c>
      <c r="O77" s="1445">
        <f>('Проверочная  таблица'!G13+'Проверочная  таблица'!G14+'Проверочная  таблица'!G15+'Проверочная  таблица'!G16)/1000</f>
        <v>311602</v>
      </c>
      <c r="P77" s="1440"/>
      <c r="Q77" s="1440"/>
      <c r="AF77" s="1426"/>
      <c r="AR77" s="1426"/>
    </row>
    <row r="78" spans="1:66" ht="15.75" x14ac:dyDescent="0.25">
      <c r="A78" s="585" t="s">
        <v>851</v>
      </c>
      <c r="B78" s="1442">
        <f t="shared" si="28"/>
        <v>4308637.9340000004</v>
      </c>
      <c r="C78" s="1442">
        <f>E78+H78+J78+L78+O78</f>
        <v>1546146.4805700001</v>
      </c>
      <c r="D78" s="1445">
        <f>'Проверочная  таблица'!N35/1000</f>
        <v>2862589.3140000002</v>
      </c>
      <c r="E78" s="1445">
        <f>'Проверочная  таблица'!O35/1000</f>
        <v>1011750</v>
      </c>
      <c r="F78" s="1445">
        <f>'Проверочная  таблица'!N31/1000-N78</f>
        <v>265037</v>
      </c>
      <c r="G78" s="1445"/>
      <c r="H78" s="1445">
        <f>'Проверочная  таблица'!O31/1000-O78</f>
        <v>48397.247000000003</v>
      </c>
      <c r="I78" s="1445">
        <f>'Проверочная  таблица'!T31/1000</f>
        <v>548175.98800000001</v>
      </c>
      <c r="J78" s="1445">
        <f>'Проверочная  таблица'!U31/1000</f>
        <v>204660.42800000001</v>
      </c>
      <c r="K78" s="1445">
        <f>'Проверочная  таблица'!R31/1000</f>
        <v>601255.63199999998</v>
      </c>
      <c r="L78" s="1445">
        <f>'Проверочная  таблица'!S31/1000</f>
        <v>274338.80556999997</v>
      </c>
      <c r="N78" s="1445">
        <f>'Проверочная  таблица'!N42/1000</f>
        <v>31580</v>
      </c>
      <c r="O78" s="1445">
        <f>'Проверочная  таблица'!O42/1000</f>
        <v>7000</v>
      </c>
      <c r="P78" s="1440"/>
      <c r="Q78" s="1440"/>
      <c r="AF78" s="1426"/>
      <c r="AR78" s="1426"/>
    </row>
    <row r="79" spans="1:66" ht="15.75" x14ac:dyDescent="0.25">
      <c r="A79" s="585" t="s">
        <v>852</v>
      </c>
      <c r="B79" s="1442">
        <f t="shared" si="28"/>
        <v>27500.000000000233</v>
      </c>
      <c r="C79" s="1442">
        <f>E79+H79+J79+L79+O79</f>
        <v>14199.999999999971</v>
      </c>
      <c r="D79" s="1445">
        <f t="shared" ref="D79:L79" si="29">D76-D77-D78</f>
        <v>1800</v>
      </c>
      <c r="E79" s="1445">
        <f t="shared" si="29"/>
        <v>0</v>
      </c>
      <c r="F79" s="1445">
        <f t="shared" si="29"/>
        <v>11499.999999999884</v>
      </c>
      <c r="G79" s="1445">
        <f t="shared" si="29"/>
        <v>0</v>
      </c>
      <c r="H79" s="1445">
        <f t="shared" si="29"/>
        <v>11499.999999999971</v>
      </c>
      <c r="I79" s="1445">
        <f t="shared" si="29"/>
        <v>3000.0000000001164</v>
      </c>
      <c r="J79" s="1445">
        <f t="shared" si="29"/>
        <v>0</v>
      </c>
      <c r="K79" s="1445">
        <f t="shared" si="29"/>
        <v>8500.0000000002328</v>
      </c>
      <c r="L79" s="1445">
        <f t="shared" si="29"/>
        <v>0</v>
      </c>
      <c r="N79" s="1445">
        <f t="shared" ref="N79" si="30">N76-N77-N78</f>
        <v>2700</v>
      </c>
      <c r="O79" s="1445">
        <f>O76-O77-O78</f>
        <v>2700</v>
      </c>
      <c r="P79" s="1440"/>
      <c r="Q79" s="1440"/>
      <c r="AF79" s="1426"/>
      <c r="AR79" s="1426"/>
    </row>
    <row r="80" spans="1:66" x14ac:dyDescent="0.25">
      <c r="A80" s="586"/>
      <c r="B80" s="587"/>
      <c r="C80" s="587"/>
      <c r="D80" s="588"/>
      <c r="E80" s="588"/>
      <c r="F80" s="588"/>
      <c r="G80" s="1444"/>
      <c r="H80" s="588"/>
      <c r="I80" s="588"/>
      <c r="J80" s="588"/>
      <c r="K80" s="588"/>
      <c r="L80" s="588"/>
      <c r="N80" s="588"/>
      <c r="O80" s="588"/>
      <c r="P80" s="1440"/>
      <c r="Q80" s="1440"/>
      <c r="AF80" s="1426"/>
      <c r="AR80" s="1426"/>
    </row>
    <row r="81" spans="1:44" ht="15.75" x14ac:dyDescent="0.25">
      <c r="A81" s="585" t="s">
        <v>853</v>
      </c>
      <c r="B81" s="1442">
        <f>D81+F81+I81+K81+N81</f>
        <v>17948425.365669999</v>
      </c>
      <c r="C81" s="1442">
        <f>E81+H81+J81+L81+O81</f>
        <v>4780298.7806100007</v>
      </c>
      <c r="D81" s="1443">
        <f>J33/1000</f>
        <v>8811636.8828799985</v>
      </c>
      <c r="E81" s="1443">
        <f>AN33/1000</f>
        <v>2908651.3033099999</v>
      </c>
      <c r="F81" s="1443">
        <f>J29/1000-N81</f>
        <v>5670400.0987699991</v>
      </c>
      <c r="G81" s="1444"/>
      <c r="H81" s="1443">
        <f>AN29/1000-O81</f>
        <v>922584.82083000056</v>
      </c>
      <c r="I81" s="1443">
        <f>AB36/1000</f>
        <v>1117805.6129999997</v>
      </c>
      <c r="J81" s="1443">
        <f>BF36/1000</f>
        <v>389692.31144999998</v>
      </c>
      <c r="K81" s="1443">
        <f>V36/1000</f>
        <v>377249.16038000002</v>
      </c>
      <c r="L81" s="1443">
        <f>AZ36/1000</f>
        <v>84979.530279999992</v>
      </c>
      <c r="N81" s="1443">
        <f>(J11+J15+J19+J24)/1000</f>
        <v>1971333.6106400003</v>
      </c>
      <c r="O81" s="1443">
        <f>(AN11+AN15+AN19+AN24)/1000</f>
        <v>474390.81474</v>
      </c>
      <c r="P81" s="1440"/>
      <c r="Q81" s="1440"/>
      <c r="AF81" s="1426"/>
      <c r="AR81" s="1426"/>
    </row>
    <row r="82" spans="1:44" x14ac:dyDescent="0.25">
      <c r="A82" s="586"/>
      <c r="B82" s="587"/>
      <c r="C82" s="587"/>
      <c r="D82" s="588"/>
      <c r="E82" s="588"/>
      <c r="F82" s="588"/>
      <c r="G82" s="1444"/>
      <c r="H82" s="588"/>
      <c r="I82" s="588"/>
      <c r="J82" s="588"/>
      <c r="K82" s="588"/>
      <c r="L82" s="588"/>
      <c r="N82" s="588"/>
      <c r="O82" s="588"/>
      <c r="P82" s="1440"/>
      <c r="Q82" s="1440"/>
      <c r="AF82" s="1426"/>
      <c r="AR82" s="1426"/>
    </row>
    <row r="83" spans="1:44" ht="15.75" x14ac:dyDescent="0.25">
      <c r="A83" s="585" t="s">
        <v>854</v>
      </c>
      <c r="B83" s="1442">
        <f>D83+F83+I83+K83+N83</f>
        <v>16481127.17701</v>
      </c>
      <c r="C83" s="1442">
        <f>E83+H83+J83+L83+O83</f>
        <v>9430506.9135099985</v>
      </c>
      <c r="D83" s="1443">
        <f>K33/1000</f>
        <v>8357986.2250400009</v>
      </c>
      <c r="E83" s="1443">
        <f>AO33/1000</f>
        <v>4578427.4584900001</v>
      </c>
      <c r="F83" s="1443">
        <f>K29/1000-N83</f>
        <v>6849194.6088100001</v>
      </c>
      <c r="G83" s="1444"/>
      <c r="H83" s="1443">
        <f>AO29/1000-O83</f>
        <v>4176724.3240700001</v>
      </c>
      <c r="I83" s="1443"/>
      <c r="J83" s="1443"/>
      <c r="K83" s="1443">
        <f>W36/1000</f>
        <v>36969.300000000003</v>
      </c>
      <c r="L83" s="1443">
        <f>BA36/1000</f>
        <v>14961.629730000001</v>
      </c>
      <c r="N83" s="1443">
        <f>(K11+K15+K19+K24)/1000</f>
        <v>1236977.0431599999</v>
      </c>
      <c r="O83" s="1443">
        <f>(AO11+AO15+AO19+AO24)/1000</f>
        <v>660393.50121999998</v>
      </c>
      <c r="P83" s="1440"/>
      <c r="Q83" s="1440"/>
      <c r="AF83" s="1426"/>
      <c r="AR83" s="1426"/>
    </row>
    <row r="84" spans="1:44" x14ac:dyDescent="0.25">
      <c r="A84" s="586"/>
      <c r="B84" s="587"/>
      <c r="C84" s="587"/>
      <c r="D84" s="588"/>
      <c r="E84" s="588"/>
      <c r="F84" s="588"/>
      <c r="G84" s="1444"/>
      <c r="H84" s="588"/>
      <c r="I84" s="588"/>
      <c r="J84" s="588"/>
      <c r="K84" s="588"/>
      <c r="L84" s="588"/>
      <c r="N84" s="588"/>
      <c r="O84" s="588"/>
      <c r="P84" s="1440"/>
      <c r="Q84" s="1440"/>
      <c r="AF84" s="1426"/>
      <c r="AR84" s="1426"/>
    </row>
    <row r="85" spans="1:44" ht="15.75" x14ac:dyDescent="0.25">
      <c r="A85" s="585" t="s">
        <v>855</v>
      </c>
      <c r="B85" s="1442">
        <f>D85+F85+I85+K85+N85</f>
        <v>3058557.0915199998</v>
      </c>
      <c r="C85" s="1442">
        <f>E85+H85+J85+L85+O85</f>
        <v>1007665.4568</v>
      </c>
      <c r="D85" s="1443">
        <f>L33/1000</f>
        <v>1259574.81171</v>
      </c>
      <c r="E85" s="1443">
        <f>AP33/1000</f>
        <v>458357.29607000004</v>
      </c>
      <c r="F85" s="1443">
        <f>L29/1000-N85</f>
        <v>878295.45179999992</v>
      </c>
      <c r="G85" s="1444"/>
      <c r="H85" s="1443">
        <f>AP29/1000-O85</f>
        <v>376718.52677999996</v>
      </c>
      <c r="I85" s="1443">
        <f>AD36/1000</f>
        <v>306092.40038000001</v>
      </c>
      <c r="J85" s="1443">
        <f>BH36/1000</f>
        <v>67894.4709</v>
      </c>
      <c r="K85" s="1443">
        <f>X36/1000</f>
        <v>332468.74704999995</v>
      </c>
      <c r="L85" s="1443">
        <f>BB36/1000</f>
        <v>31098.791760000004</v>
      </c>
      <c r="N85" s="1443">
        <f>(L11+L15+L19+L24)/1000</f>
        <v>282125.68057999999</v>
      </c>
      <c r="O85" s="1443">
        <f>(AP11+AP15+AP19+AP24)/1000</f>
        <v>73596.37129000001</v>
      </c>
      <c r="P85" s="1440"/>
      <c r="Q85" s="1440"/>
      <c r="AF85" s="1426"/>
      <c r="AR85" s="1426"/>
    </row>
    <row r="86" spans="1:44" x14ac:dyDescent="0.25">
      <c r="B86" s="1444"/>
      <c r="C86" s="1444"/>
      <c r="D86" s="1444"/>
      <c r="E86" s="1444"/>
      <c r="F86" s="1444"/>
      <c r="G86" s="1444"/>
      <c r="H86" s="1444"/>
      <c r="I86" s="1444"/>
      <c r="J86" s="1444"/>
      <c r="K86" s="1444"/>
      <c r="L86" s="1444"/>
      <c r="N86" s="1444"/>
      <c r="O86" s="1444"/>
      <c r="P86" s="1440"/>
      <c r="Q86" s="1440"/>
      <c r="AF86" s="1426"/>
      <c r="AR86" s="1426"/>
    </row>
    <row r="87" spans="1:44" ht="15.75" x14ac:dyDescent="0.25">
      <c r="B87" s="1446">
        <f>B74-B76-B81-B83-B85</f>
        <v>-1.4435499906539917E-8</v>
      </c>
      <c r="C87" s="1446">
        <f>C74-C76-C81-C83-C85</f>
        <v>-1.1641532182693481E-9</v>
      </c>
      <c r="D87" s="1446">
        <f>D74-D76-D81-D83-D85</f>
        <v>0</v>
      </c>
      <c r="E87" s="1446">
        <f>E74-E76-E81-E83-E85</f>
        <v>-8.149072527885437E-10</v>
      </c>
      <c r="F87" s="1446">
        <f>F74-F76-F81-F83-F85</f>
        <v>-2.7939677238464355E-9</v>
      </c>
      <c r="G87" s="1444"/>
      <c r="H87" s="1446">
        <f>H74-H76-H81-H83-H85</f>
        <v>-9.3132257461547852E-10</v>
      </c>
      <c r="I87" s="1446">
        <f>I74-I76-I81-I83-I85</f>
        <v>0</v>
      </c>
      <c r="J87" s="1446">
        <f>J74-J76-J81-J83-J85</f>
        <v>0</v>
      </c>
      <c r="K87" s="1446">
        <f>K74-K76-K81-K83-K85</f>
        <v>0</v>
      </c>
      <c r="L87" s="1446">
        <f>L74-L76-L81-L83-L85</f>
        <v>1.0550138540565968E-10</v>
      </c>
      <c r="N87" s="1446">
        <f>N74-N76-N81-N83-N85</f>
        <v>0</v>
      </c>
      <c r="O87" s="1446">
        <f>O74-O76-O81-O83-O85</f>
        <v>0</v>
      </c>
      <c r="AF87" s="1426"/>
      <c r="AR87" s="1426"/>
    </row>
    <row r="88" spans="1:44" ht="15.75" x14ac:dyDescent="0.25">
      <c r="B88" s="1447">
        <f>B74-B36/1000</f>
        <v>0</v>
      </c>
      <c r="C88" s="1447">
        <f>C74-AF36/1000</f>
        <v>0</v>
      </c>
    </row>
  </sheetData>
  <mergeCells count="35">
    <mergeCell ref="A67:L67"/>
    <mergeCell ref="AY9:BC9"/>
    <mergeCell ref="A49:K49"/>
    <mergeCell ref="A54:L54"/>
    <mergeCell ref="A60:L60"/>
    <mergeCell ref="AL9:AL10"/>
    <mergeCell ref="AM9:AQ9"/>
    <mergeCell ref="AR9:AR10"/>
    <mergeCell ref="AS9:AW9"/>
    <mergeCell ref="AX9:AX10"/>
    <mergeCell ref="A6:A10"/>
    <mergeCell ref="B6:AE7"/>
    <mergeCell ref="U9:Y9"/>
    <mergeCell ref="AF6:BI7"/>
    <mergeCell ref="BD8:BI8"/>
    <mergeCell ref="H9:H10"/>
    <mergeCell ref="A63:L63"/>
    <mergeCell ref="Z9:Z10"/>
    <mergeCell ref="N9:N10"/>
    <mergeCell ref="B8:B10"/>
    <mergeCell ref="C8:G9"/>
    <mergeCell ref="H8:S8"/>
    <mergeCell ref="T8:Y8"/>
    <mergeCell ref="Z8:AE8"/>
    <mergeCell ref="I9:M9"/>
    <mergeCell ref="BK9:BN9"/>
    <mergeCell ref="BD9:BD10"/>
    <mergeCell ref="BE9:BI9"/>
    <mergeCell ref="AA9:AE9"/>
    <mergeCell ref="O9:S9"/>
    <mergeCell ref="T9:T10"/>
    <mergeCell ref="AF8:AF10"/>
    <mergeCell ref="AG8:AK9"/>
    <mergeCell ref="AL8:AW8"/>
    <mergeCell ref="AX8:BC8"/>
  </mergeCells>
  <pageMargins left="0.35433070866141736" right="0.39370078740157483" top="0.78740157480314965" bottom="0.59055118110236227" header="0.51181102362204722" footer="0.51181102362204722"/>
  <pageSetup paperSize="9" scale="46" fitToWidth="4"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H45"/>
  <sheetViews>
    <sheetView view="pageBreakPreview" topLeftCell="A2" zoomScale="40" zoomScaleNormal="40" zoomScaleSheetLayoutView="40" workbookViewId="0">
      <pane xSplit="1" ySplit="9" topLeftCell="B29" activePane="bottomRight" state="frozen"/>
      <selection activeCell="A2" sqref="A2"/>
      <selection pane="topRight" activeCell="B2" sqref="B2"/>
      <selection pane="bottomLeft" activeCell="A11" sqref="A11"/>
      <selection pane="bottomRight" activeCell="BX44" sqref="BX44"/>
    </sheetView>
  </sheetViews>
  <sheetFormatPr defaultColWidth="9.140625" defaultRowHeight="12.75" x14ac:dyDescent="0.2"/>
  <cols>
    <col min="1" max="1" width="32.140625" style="1" customWidth="1"/>
    <col min="2" max="2" width="27" style="1" customWidth="1"/>
    <col min="3" max="3" width="26.42578125" style="1" customWidth="1"/>
    <col min="4" max="4" width="26.7109375" style="1" customWidth="1"/>
    <col min="5" max="5" width="28.7109375" style="1" customWidth="1"/>
    <col min="6" max="6" width="24.5703125" style="1" customWidth="1"/>
    <col min="7" max="9" width="25.140625" style="1" customWidth="1"/>
    <col min="10" max="10" width="26.42578125" style="1" customWidth="1"/>
    <col min="11" max="11" width="27.42578125" style="1" customWidth="1"/>
    <col min="12" max="12" width="25" style="1" customWidth="1"/>
    <col min="13" max="13" width="25.85546875" style="1" customWidth="1"/>
    <col min="14" max="14" width="26.42578125" style="1" customWidth="1"/>
    <col min="15" max="15" width="25.5703125" style="1" customWidth="1"/>
    <col min="16" max="23" width="24.85546875" style="1" customWidth="1"/>
    <col min="24" max="25" width="26.85546875" style="1" customWidth="1"/>
    <col min="26" max="55" width="24.85546875" style="1" customWidth="1"/>
    <col min="56" max="57" width="26.140625" style="1" customWidth="1"/>
    <col min="58" max="61" width="24" style="1" customWidth="1"/>
    <col min="62" max="63" width="25.140625" style="1" customWidth="1"/>
    <col min="64" max="65" width="28.85546875" style="1" customWidth="1"/>
    <col min="66" max="69" width="25.5703125" style="1" customWidth="1"/>
    <col min="70" max="75" width="24.85546875" style="1" customWidth="1"/>
    <col min="76" max="79" width="25.5703125" style="1" customWidth="1"/>
    <col min="80" max="81" width="36" style="1" customWidth="1"/>
    <col min="82" max="85" width="25.5703125" style="1" customWidth="1"/>
    <col min="86" max="86" width="24.140625" style="1" customWidth="1"/>
    <col min="87" max="87" width="24.5703125" style="1" customWidth="1"/>
    <col min="88" max="88" width="22.85546875" style="1" customWidth="1"/>
    <col min="89" max="93" width="20.42578125" style="1" customWidth="1"/>
    <col min="94" max="97" width="20.5703125" style="1" customWidth="1"/>
    <col min="98" max="98" width="24.42578125" style="1" customWidth="1"/>
    <col min="99" max="99" width="23.5703125" style="1" customWidth="1"/>
    <col min="100" max="101" width="21.85546875" style="1" customWidth="1"/>
    <col min="102" max="102" width="23.5703125" style="1" customWidth="1"/>
    <col min="103" max="103" width="22.85546875" style="1" customWidth="1"/>
    <col min="104" max="107" width="22.7109375" style="1" customWidth="1"/>
    <col min="108" max="109" width="23.85546875" style="1" customWidth="1"/>
    <col min="110" max="110" width="9.140625" style="1"/>
    <col min="111" max="112" width="16" style="1" bestFit="1" customWidth="1"/>
    <col min="113" max="16384" width="9.140625" style="1"/>
  </cols>
  <sheetData>
    <row r="2" spans="1:112" ht="19.5" x14ac:dyDescent="0.3">
      <c r="E2" s="25" t="s">
        <v>729</v>
      </c>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row>
    <row r="3" spans="1:112" ht="19.5" x14ac:dyDescent="0.3">
      <c r="F3" s="428" t="str">
        <f>'Федеральные  средства'!A3</f>
        <v>ПО  СОСТОЯНИЮ  НА  1  ИЮЛЯ  2024  ГОДА</v>
      </c>
    </row>
    <row r="4" spans="1:112" ht="15.75" x14ac:dyDescent="0.25">
      <c r="L4" s="429"/>
      <c r="M4" s="429"/>
    </row>
    <row r="5" spans="1:112" ht="17.25" thickBot="1" x14ac:dyDescent="0.3">
      <c r="L5" s="430" t="s">
        <v>371</v>
      </c>
    </row>
    <row r="6" spans="1:112" ht="27" customHeight="1" thickBot="1" x14ac:dyDescent="0.25">
      <c r="A6" s="1717" t="s">
        <v>261</v>
      </c>
      <c r="B6" s="1753" t="s">
        <v>8</v>
      </c>
      <c r="C6" s="1754"/>
      <c r="D6" s="1753" t="s">
        <v>730</v>
      </c>
      <c r="E6" s="1754"/>
      <c r="F6" s="1695" t="s">
        <v>731</v>
      </c>
      <c r="G6" s="1699"/>
      <c r="H6" s="1699"/>
      <c r="I6" s="1699"/>
      <c r="J6" s="1699"/>
      <c r="K6" s="1696"/>
      <c r="L6" s="1759" t="s">
        <v>732</v>
      </c>
      <c r="M6" s="1760"/>
      <c r="N6" s="431"/>
      <c r="O6" s="432"/>
      <c r="P6" s="432"/>
      <c r="Q6" s="432" t="s">
        <v>376</v>
      </c>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432"/>
      <c r="AV6" s="432"/>
      <c r="AW6" s="432"/>
      <c r="AX6" s="432"/>
      <c r="AY6" s="432"/>
      <c r="AZ6" s="432"/>
      <c r="BA6" s="432"/>
      <c r="BB6" s="432"/>
      <c r="BC6" s="432"/>
      <c r="BD6" s="432"/>
      <c r="BE6" s="432"/>
      <c r="BF6" s="432"/>
      <c r="BG6" s="432"/>
      <c r="BH6" s="432"/>
      <c r="BI6" s="432"/>
      <c r="BJ6" s="432"/>
      <c r="BK6" s="432"/>
      <c r="BL6" s="432"/>
      <c r="BM6" s="432"/>
      <c r="BN6" s="432"/>
      <c r="BO6" s="432"/>
      <c r="BP6" s="432"/>
      <c r="BQ6" s="432"/>
      <c r="BR6" s="432"/>
      <c r="BS6" s="432"/>
      <c r="BT6" s="432"/>
      <c r="BU6" s="432"/>
      <c r="BV6" s="432"/>
      <c r="BW6" s="432"/>
      <c r="BX6" s="432"/>
      <c r="BY6" s="432"/>
      <c r="BZ6" s="432"/>
      <c r="CA6" s="432"/>
      <c r="CB6" s="432"/>
      <c r="CC6" s="432"/>
      <c r="CD6" s="432"/>
      <c r="CE6" s="432"/>
      <c r="CF6" s="432"/>
      <c r="CG6" s="432"/>
      <c r="CH6" s="432"/>
      <c r="CI6" s="432"/>
      <c r="CJ6" s="432"/>
      <c r="CK6" s="432"/>
      <c r="CL6" s="432"/>
      <c r="CM6" s="432"/>
      <c r="CN6" s="432"/>
      <c r="CO6" s="432"/>
      <c r="CP6" s="432"/>
      <c r="CQ6" s="432"/>
      <c r="CR6" s="432"/>
      <c r="CS6" s="432"/>
      <c r="CT6" s="432"/>
      <c r="CU6" s="432"/>
      <c r="CV6" s="432"/>
      <c r="CW6" s="432"/>
      <c r="CX6" s="432"/>
      <c r="CY6" s="432"/>
      <c r="CZ6" s="432"/>
      <c r="DA6" s="432"/>
      <c r="DB6" s="432"/>
      <c r="DC6" s="432"/>
      <c r="DD6" s="432"/>
      <c r="DE6" s="433"/>
    </row>
    <row r="7" spans="1:112" ht="47.1" customHeight="1" thickBot="1" x14ac:dyDescent="0.25">
      <c r="A7" s="1718"/>
      <c r="B7" s="1755"/>
      <c r="C7" s="1756"/>
      <c r="D7" s="1755"/>
      <c r="E7" s="1756"/>
      <c r="F7" s="1766" t="s">
        <v>269</v>
      </c>
      <c r="G7" s="1767"/>
      <c r="H7" s="1745" t="s">
        <v>270</v>
      </c>
      <c r="I7" s="1746"/>
      <c r="J7" s="1746"/>
      <c r="K7" s="1747"/>
      <c r="L7" s="1761"/>
      <c r="M7" s="1762"/>
      <c r="N7" s="1772" t="s">
        <v>733</v>
      </c>
      <c r="O7" s="1773"/>
      <c r="P7" s="1773"/>
      <c r="Q7" s="1773"/>
      <c r="R7" s="1773"/>
      <c r="S7" s="1773"/>
      <c r="T7" s="1773"/>
      <c r="U7" s="1773"/>
      <c r="V7" s="1773"/>
      <c r="W7" s="1773"/>
      <c r="X7" s="1773"/>
      <c r="Y7" s="1773"/>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4"/>
      <c r="AX7" s="434"/>
      <c r="AY7" s="434"/>
      <c r="AZ7" s="434"/>
      <c r="BA7" s="434"/>
      <c r="BB7" s="434"/>
      <c r="BC7" s="434"/>
      <c r="BD7" s="434"/>
      <c r="BE7" s="434"/>
      <c r="BF7" s="434"/>
      <c r="BG7" s="434"/>
      <c r="BH7" s="434"/>
      <c r="BI7" s="434"/>
      <c r="BJ7" s="434"/>
      <c r="BK7" s="434"/>
      <c r="BL7" s="434"/>
      <c r="BM7" s="434"/>
      <c r="BN7" s="434"/>
      <c r="BO7" s="434"/>
      <c r="BP7" s="434"/>
      <c r="BQ7" s="434"/>
      <c r="BR7" s="434"/>
      <c r="BS7" s="434"/>
      <c r="BT7" s="434"/>
      <c r="BU7" s="434"/>
      <c r="BV7" s="434"/>
      <c r="BW7" s="434"/>
      <c r="BX7" s="434"/>
      <c r="BY7" s="434"/>
      <c r="BZ7" s="434"/>
      <c r="CA7" s="434"/>
      <c r="CB7" s="434"/>
      <c r="CC7" s="434"/>
      <c r="CD7" s="434"/>
      <c r="CE7" s="434"/>
      <c r="CF7" s="434"/>
      <c r="CG7" s="434"/>
      <c r="CH7" s="1726" t="s">
        <v>734</v>
      </c>
      <c r="CI7" s="1727"/>
      <c r="CJ7" s="1727"/>
      <c r="CK7" s="1727"/>
      <c r="CL7" s="1727"/>
      <c r="CM7" s="1727"/>
      <c r="CN7" s="1727"/>
      <c r="CO7" s="1727"/>
      <c r="CP7" s="1727"/>
      <c r="CQ7" s="1727"/>
      <c r="CR7" s="1727"/>
      <c r="CS7" s="1727"/>
      <c r="CT7" s="1727"/>
      <c r="CU7" s="1727"/>
      <c r="CV7" s="29"/>
      <c r="CW7" s="435"/>
      <c r="CX7" s="1729" t="s">
        <v>735</v>
      </c>
      <c r="CY7" s="1730"/>
      <c r="CZ7" s="1730"/>
      <c r="DA7" s="1730"/>
      <c r="DB7" s="1730"/>
      <c r="DC7" s="1730"/>
      <c r="DD7" s="1730"/>
      <c r="DE7" s="1731"/>
    </row>
    <row r="8" spans="1:112" ht="60.95" customHeight="1" thickBot="1" x14ac:dyDescent="0.25">
      <c r="A8" s="1718"/>
      <c r="B8" s="1755"/>
      <c r="C8" s="1756"/>
      <c r="D8" s="1755"/>
      <c r="E8" s="1756"/>
      <c r="F8" s="1768"/>
      <c r="G8" s="1769"/>
      <c r="H8" s="1748"/>
      <c r="I8" s="1749"/>
      <c r="J8" s="1749"/>
      <c r="K8" s="1750"/>
      <c r="L8" s="1761"/>
      <c r="M8" s="1763"/>
      <c r="N8" s="1718" t="s">
        <v>264</v>
      </c>
      <c r="O8" s="1718" t="s">
        <v>268</v>
      </c>
      <c r="P8" s="1710" t="s">
        <v>271</v>
      </c>
      <c r="Q8" s="1733"/>
      <c r="R8" s="1733"/>
      <c r="S8" s="1733"/>
      <c r="T8" s="1733"/>
      <c r="U8" s="1711"/>
      <c r="V8" s="1734" t="s">
        <v>272</v>
      </c>
      <c r="W8" s="1734"/>
      <c r="X8" s="1729" t="s">
        <v>273</v>
      </c>
      <c r="Y8" s="1730"/>
      <c r="Z8" s="1716" t="s">
        <v>274</v>
      </c>
      <c r="AA8" s="1723"/>
      <c r="AB8" s="1716" t="s">
        <v>275</v>
      </c>
      <c r="AC8" s="1723"/>
      <c r="AD8" s="1695" t="s">
        <v>276</v>
      </c>
      <c r="AE8" s="1699"/>
      <c r="AF8" s="1705" t="s">
        <v>277</v>
      </c>
      <c r="AG8" s="1706"/>
      <c r="AH8" s="1695" t="s">
        <v>278</v>
      </c>
      <c r="AI8" s="1696"/>
      <c r="AJ8" s="1695" t="s">
        <v>279</v>
      </c>
      <c r="AK8" s="1696"/>
      <c r="AL8" s="1695" t="s">
        <v>736</v>
      </c>
      <c r="AM8" s="1696"/>
      <c r="AN8" s="1695" t="s">
        <v>280</v>
      </c>
      <c r="AO8" s="1696"/>
      <c r="AP8" s="1695" t="s">
        <v>281</v>
      </c>
      <c r="AQ8" s="1696"/>
      <c r="AR8" s="1695" t="s">
        <v>282</v>
      </c>
      <c r="AS8" s="1696"/>
      <c r="AT8" s="1699" t="s">
        <v>283</v>
      </c>
      <c r="AU8" s="1696"/>
      <c r="AV8" s="1701" t="s">
        <v>284</v>
      </c>
      <c r="AW8" s="1702"/>
      <c r="AX8" s="1695" t="s">
        <v>737</v>
      </c>
      <c r="AY8" s="1699"/>
      <c r="AZ8" s="1699"/>
      <c r="BA8" s="1696"/>
      <c r="BB8" s="1695" t="s">
        <v>286</v>
      </c>
      <c r="BC8" s="1696"/>
      <c r="BD8" s="1710" t="s">
        <v>287</v>
      </c>
      <c r="BE8" s="1733"/>
      <c r="BF8" s="1733"/>
      <c r="BG8" s="1733"/>
      <c r="BH8" s="1733"/>
      <c r="BI8" s="1711"/>
      <c r="BJ8" s="1701" t="s">
        <v>288</v>
      </c>
      <c r="BK8" s="1702"/>
      <c r="BL8" s="1710" t="s">
        <v>289</v>
      </c>
      <c r="BM8" s="1728"/>
      <c r="BN8" s="1712" t="s">
        <v>290</v>
      </c>
      <c r="BO8" s="1742"/>
      <c r="BP8" s="1742"/>
      <c r="BQ8" s="1713"/>
      <c r="BR8" s="1695" t="s">
        <v>291</v>
      </c>
      <c r="BS8" s="1696"/>
      <c r="BT8" s="1705" t="s">
        <v>292</v>
      </c>
      <c r="BU8" s="1706"/>
      <c r="BV8" s="1705" t="s">
        <v>738</v>
      </c>
      <c r="BW8" s="1706"/>
      <c r="BX8" s="1712" t="s">
        <v>739</v>
      </c>
      <c r="BY8" s="1713"/>
      <c r="BZ8" s="1738" t="s">
        <v>740</v>
      </c>
      <c r="CA8" s="1739"/>
      <c r="CB8" s="1729" t="s">
        <v>296</v>
      </c>
      <c r="CC8" s="1730"/>
      <c r="CD8" s="1730"/>
      <c r="CE8" s="1730"/>
      <c r="CF8" s="1125"/>
      <c r="CG8" s="1124"/>
      <c r="CH8" s="1695" t="s">
        <v>264</v>
      </c>
      <c r="CI8" s="1717" t="s">
        <v>268</v>
      </c>
      <c r="CJ8" s="1716" t="s">
        <v>741</v>
      </c>
      <c r="CK8" s="1723"/>
      <c r="CL8" s="1716" t="s">
        <v>742</v>
      </c>
      <c r="CM8" s="1723"/>
      <c r="CN8" s="1716" t="s">
        <v>743</v>
      </c>
      <c r="CO8" s="1723"/>
      <c r="CP8" s="1716" t="s">
        <v>744</v>
      </c>
      <c r="CQ8" s="1723"/>
      <c r="CR8" s="1724" t="s">
        <v>745</v>
      </c>
      <c r="CS8" s="1725"/>
      <c r="CT8" s="1735" t="s">
        <v>746</v>
      </c>
      <c r="CU8" s="1736"/>
      <c r="CV8" s="1712" t="s">
        <v>747</v>
      </c>
      <c r="CW8" s="1713"/>
      <c r="CX8" s="1695" t="s">
        <v>264</v>
      </c>
      <c r="CY8" s="1717" t="s">
        <v>268</v>
      </c>
      <c r="CZ8" s="1719" t="s">
        <v>748</v>
      </c>
      <c r="DA8" s="1720"/>
      <c r="DB8" s="1719" t="s">
        <v>749</v>
      </c>
      <c r="DC8" s="1720"/>
      <c r="DD8" s="1719" t="s">
        <v>750</v>
      </c>
      <c r="DE8" s="1720"/>
    </row>
    <row r="9" spans="1:112" ht="211.5" customHeight="1" thickBot="1" x14ac:dyDescent="0.25">
      <c r="A9" s="1718"/>
      <c r="B9" s="1757"/>
      <c r="C9" s="1758"/>
      <c r="D9" s="1757"/>
      <c r="E9" s="1758"/>
      <c r="F9" s="1770"/>
      <c r="G9" s="1771"/>
      <c r="H9" s="1751" t="s">
        <v>1298</v>
      </c>
      <c r="I9" s="1752"/>
      <c r="J9" s="1751" t="s">
        <v>1299</v>
      </c>
      <c r="K9" s="1752"/>
      <c r="L9" s="1764"/>
      <c r="M9" s="1765"/>
      <c r="N9" s="1718"/>
      <c r="O9" s="1718"/>
      <c r="P9" s="1697" t="s">
        <v>751</v>
      </c>
      <c r="Q9" s="1698"/>
      <c r="R9" s="1697" t="s">
        <v>752</v>
      </c>
      <c r="S9" s="1698"/>
      <c r="T9" s="1697" t="s">
        <v>753</v>
      </c>
      <c r="U9" s="1698"/>
      <c r="V9" s="1700"/>
      <c r="W9" s="1700"/>
      <c r="X9" s="1708" t="s">
        <v>754</v>
      </c>
      <c r="Y9" s="1709"/>
      <c r="Z9" s="1697"/>
      <c r="AA9" s="1698"/>
      <c r="AB9" s="1697"/>
      <c r="AC9" s="1698"/>
      <c r="AD9" s="1697"/>
      <c r="AE9" s="1700"/>
      <c r="AF9" s="1703"/>
      <c r="AG9" s="1704"/>
      <c r="AH9" s="1697"/>
      <c r="AI9" s="1698"/>
      <c r="AJ9" s="1697"/>
      <c r="AK9" s="1698"/>
      <c r="AL9" s="1697"/>
      <c r="AM9" s="1698"/>
      <c r="AN9" s="1697"/>
      <c r="AO9" s="1698"/>
      <c r="AP9" s="1697"/>
      <c r="AQ9" s="1698"/>
      <c r="AR9" s="1697"/>
      <c r="AS9" s="1698"/>
      <c r="AT9" s="1700"/>
      <c r="AU9" s="1698"/>
      <c r="AV9" s="1703"/>
      <c r="AW9" s="1704"/>
      <c r="AX9" s="1708" t="s">
        <v>755</v>
      </c>
      <c r="AY9" s="1709"/>
      <c r="AZ9" s="1710" t="s">
        <v>303</v>
      </c>
      <c r="BA9" s="1711"/>
      <c r="BB9" s="1697"/>
      <c r="BC9" s="1698"/>
      <c r="BD9" s="1697" t="s">
        <v>756</v>
      </c>
      <c r="BE9" s="1698"/>
      <c r="BF9" s="1703" t="s">
        <v>757</v>
      </c>
      <c r="BG9" s="1704"/>
      <c r="BH9" s="1700" t="s">
        <v>758</v>
      </c>
      <c r="BI9" s="1698"/>
      <c r="BJ9" s="1703"/>
      <c r="BK9" s="1704"/>
      <c r="BL9" s="1710" t="s">
        <v>309</v>
      </c>
      <c r="BM9" s="1728"/>
      <c r="BN9" s="1710" t="s">
        <v>310</v>
      </c>
      <c r="BO9" s="1711"/>
      <c r="BP9" s="1743" t="s">
        <v>760</v>
      </c>
      <c r="BQ9" s="1744"/>
      <c r="BR9" s="1697"/>
      <c r="BS9" s="1698"/>
      <c r="BT9" s="1703"/>
      <c r="BU9" s="1704"/>
      <c r="BV9" s="1703"/>
      <c r="BW9" s="1704"/>
      <c r="BX9" s="1714"/>
      <c r="BY9" s="1715"/>
      <c r="BZ9" s="1740"/>
      <c r="CA9" s="1741"/>
      <c r="CB9" s="1733" t="s">
        <v>759</v>
      </c>
      <c r="CC9" s="1711"/>
      <c r="CD9" s="1708" t="s">
        <v>313</v>
      </c>
      <c r="CE9" s="1774"/>
      <c r="CF9" s="1710" t="s">
        <v>760</v>
      </c>
      <c r="CG9" s="1711"/>
      <c r="CH9" s="1716"/>
      <c r="CI9" s="1718"/>
      <c r="CJ9" s="1697"/>
      <c r="CK9" s="1698"/>
      <c r="CL9" s="1697"/>
      <c r="CM9" s="1698"/>
      <c r="CN9" s="1697"/>
      <c r="CO9" s="1698"/>
      <c r="CP9" s="1697"/>
      <c r="CQ9" s="1698"/>
      <c r="CR9" s="1721"/>
      <c r="CS9" s="1722"/>
      <c r="CT9" s="1714"/>
      <c r="CU9" s="1737"/>
      <c r="CV9" s="1714"/>
      <c r="CW9" s="1715"/>
      <c r="CX9" s="1716"/>
      <c r="CY9" s="1718"/>
      <c r="CZ9" s="1721"/>
      <c r="DA9" s="1722"/>
      <c r="DB9" s="1721"/>
      <c r="DC9" s="1722"/>
      <c r="DD9" s="1721"/>
      <c r="DE9" s="1722"/>
    </row>
    <row r="10" spans="1:112" ht="21" customHeight="1" thickBot="1" x14ac:dyDescent="0.3">
      <c r="A10" s="1732"/>
      <c r="B10" s="37" t="s">
        <v>315</v>
      </c>
      <c r="C10" s="436" t="s">
        <v>317</v>
      </c>
      <c r="D10" s="37" t="s">
        <v>315</v>
      </c>
      <c r="E10" s="436" t="s">
        <v>317</v>
      </c>
      <c r="F10" s="437" t="s">
        <v>315</v>
      </c>
      <c r="G10" s="438" t="s">
        <v>317</v>
      </c>
      <c r="H10" s="437" t="s">
        <v>315</v>
      </c>
      <c r="I10" s="438" t="s">
        <v>317</v>
      </c>
      <c r="J10" s="437" t="s">
        <v>315</v>
      </c>
      <c r="K10" s="438" t="s">
        <v>317</v>
      </c>
      <c r="L10" s="439" t="s">
        <v>315</v>
      </c>
      <c r="M10" s="439" t="s">
        <v>317</v>
      </c>
      <c r="N10" s="1732"/>
      <c r="O10" s="1732"/>
      <c r="P10" s="37" t="s">
        <v>315</v>
      </c>
      <c r="Q10" s="436" t="s">
        <v>317</v>
      </c>
      <c r="R10" s="440" t="s">
        <v>315</v>
      </c>
      <c r="S10" s="436" t="s">
        <v>317</v>
      </c>
      <c r="T10" s="37" t="s">
        <v>315</v>
      </c>
      <c r="U10" s="436" t="s">
        <v>317</v>
      </c>
      <c r="V10" s="436" t="s">
        <v>315</v>
      </c>
      <c r="W10" s="37" t="s">
        <v>317</v>
      </c>
      <c r="X10" s="37" t="s">
        <v>315</v>
      </c>
      <c r="Y10" s="436" t="s">
        <v>317</v>
      </c>
      <c r="Z10" s="436" t="s">
        <v>315</v>
      </c>
      <c r="AA10" s="436" t="s">
        <v>317</v>
      </c>
      <c r="AB10" s="37" t="s">
        <v>315</v>
      </c>
      <c r="AC10" s="436" t="s">
        <v>317</v>
      </c>
      <c r="AD10" s="37" t="s">
        <v>315</v>
      </c>
      <c r="AE10" s="37" t="s">
        <v>317</v>
      </c>
      <c r="AF10" s="37" t="s">
        <v>315</v>
      </c>
      <c r="AG10" s="436" t="s">
        <v>317</v>
      </c>
      <c r="AH10" s="37" t="s">
        <v>315</v>
      </c>
      <c r="AI10" s="436" t="s">
        <v>317</v>
      </c>
      <c r="AJ10" s="37" t="s">
        <v>315</v>
      </c>
      <c r="AK10" s="436" t="s">
        <v>317</v>
      </c>
      <c r="AL10" s="37" t="s">
        <v>315</v>
      </c>
      <c r="AM10" s="436" t="s">
        <v>317</v>
      </c>
      <c r="AN10" s="37" t="s">
        <v>315</v>
      </c>
      <c r="AO10" s="436" t="s">
        <v>317</v>
      </c>
      <c r="AP10" s="37" t="s">
        <v>315</v>
      </c>
      <c r="AQ10" s="436" t="s">
        <v>317</v>
      </c>
      <c r="AR10" s="40" t="s">
        <v>315</v>
      </c>
      <c r="AS10" s="436" t="s">
        <v>317</v>
      </c>
      <c r="AT10" s="40" t="s">
        <v>315</v>
      </c>
      <c r="AU10" s="436" t="s">
        <v>317</v>
      </c>
      <c r="AV10" s="37" t="s">
        <v>315</v>
      </c>
      <c r="AW10" s="436" t="s">
        <v>317</v>
      </c>
      <c r="AX10" s="37" t="s">
        <v>315</v>
      </c>
      <c r="AY10" s="436" t="s">
        <v>317</v>
      </c>
      <c r="AZ10" s="37" t="s">
        <v>315</v>
      </c>
      <c r="BA10" s="436" t="s">
        <v>317</v>
      </c>
      <c r="BB10" s="37" t="s">
        <v>315</v>
      </c>
      <c r="BC10" s="436" t="s">
        <v>317</v>
      </c>
      <c r="BD10" s="37" t="s">
        <v>315</v>
      </c>
      <c r="BE10" s="436" t="s">
        <v>317</v>
      </c>
      <c r="BF10" s="37" t="s">
        <v>315</v>
      </c>
      <c r="BG10" s="436" t="s">
        <v>317</v>
      </c>
      <c r="BH10" s="40" t="s">
        <v>315</v>
      </c>
      <c r="BI10" s="37" t="s">
        <v>317</v>
      </c>
      <c r="BJ10" s="436" t="s">
        <v>315</v>
      </c>
      <c r="BK10" s="436" t="s">
        <v>317</v>
      </c>
      <c r="BL10" s="40" t="s">
        <v>315</v>
      </c>
      <c r="BM10" s="436" t="s">
        <v>317</v>
      </c>
      <c r="BN10" s="37" t="s">
        <v>315</v>
      </c>
      <c r="BO10" s="436" t="s">
        <v>317</v>
      </c>
      <c r="BP10" s="37" t="s">
        <v>315</v>
      </c>
      <c r="BQ10" s="436" t="s">
        <v>317</v>
      </c>
      <c r="BR10" s="37" t="s">
        <v>315</v>
      </c>
      <c r="BS10" s="436" t="s">
        <v>317</v>
      </c>
      <c r="BT10" s="37" t="s">
        <v>315</v>
      </c>
      <c r="BU10" s="436" t="s">
        <v>317</v>
      </c>
      <c r="BV10" s="37" t="s">
        <v>315</v>
      </c>
      <c r="BW10" s="436" t="s">
        <v>317</v>
      </c>
      <c r="BX10" s="37" t="s">
        <v>315</v>
      </c>
      <c r="BY10" s="436" t="s">
        <v>317</v>
      </c>
      <c r="BZ10" s="37" t="s">
        <v>315</v>
      </c>
      <c r="CA10" s="436" t="s">
        <v>317</v>
      </c>
      <c r="CB10" s="440" t="s">
        <v>315</v>
      </c>
      <c r="CC10" s="436" t="s">
        <v>317</v>
      </c>
      <c r="CD10" s="37" t="s">
        <v>315</v>
      </c>
      <c r="CE10" s="37" t="s">
        <v>317</v>
      </c>
      <c r="CF10" s="37" t="s">
        <v>315</v>
      </c>
      <c r="CG10" s="436" t="s">
        <v>317</v>
      </c>
      <c r="CH10" s="1716"/>
      <c r="CI10" s="1716"/>
      <c r="CJ10" s="440" t="s">
        <v>315</v>
      </c>
      <c r="CK10" s="440" t="s">
        <v>317</v>
      </c>
      <c r="CL10" s="441" t="s">
        <v>315</v>
      </c>
      <c r="CM10" s="440" t="s">
        <v>317</v>
      </c>
      <c r="CN10" s="37" t="s">
        <v>315</v>
      </c>
      <c r="CO10" s="436" t="s">
        <v>317</v>
      </c>
      <c r="CP10" s="40" t="s">
        <v>315</v>
      </c>
      <c r="CQ10" s="436" t="s">
        <v>317</v>
      </c>
      <c r="CR10" s="40" t="s">
        <v>315</v>
      </c>
      <c r="CS10" s="436" t="s">
        <v>317</v>
      </c>
      <c r="CT10" s="37" t="s">
        <v>315</v>
      </c>
      <c r="CU10" s="37" t="s">
        <v>317</v>
      </c>
      <c r="CV10" s="37" t="s">
        <v>315</v>
      </c>
      <c r="CW10" s="436" t="s">
        <v>317</v>
      </c>
      <c r="CX10" s="1716"/>
      <c r="CY10" s="1718"/>
      <c r="CZ10" s="37" t="s">
        <v>315</v>
      </c>
      <c r="DA10" s="436" t="s">
        <v>317</v>
      </c>
      <c r="DB10" s="37" t="s">
        <v>315</v>
      </c>
      <c r="DC10" s="436" t="s">
        <v>317</v>
      </c>
      <c r="DD10" s="37" t="s">
        <v>315</v>
      </c>
      <c r="DE10" s="436" t="s">
        <v>317</v>
      </c>
      <c r="DG10" s="1707" t="s">
        <v>761</v>
      </c>
      <c r="DH10" s="1707"/>
    </row>
    <row r="11" spans="1:112" ht="25.5" customHeight="1" x14ac:dyDescent="0.25">
      <c r="A11" s="442" t="s">
        <v>318</v>
      </c>
      <c r="B11" s="443">
        <f t="shared" ref="B11:B28" si="0">D11+L11</f>
        <v>78095403.439999998</v>
      </c>
      <c r="C11" s="444">
        <f t="shared" ref="C11:C28" si="1">E11+M11</f>
        <v>11897537.75</v>
      </c>
      <c r="D11" s="1050">
        <f>F11+J11+H11</f>
        <v>48465625.600000001</v>
      </c>
      <c r="E11" s="1051">
        <f>G11+K11+I11</f>
        <v>0</v>
      </c>
      <c r="F11" s="445">
        <f>'Проверочная  таблица'!BT13+'Проверочная  таблица'!BV13</f>
        <v>0</v>
      </c>
      <c r="G11" s="446">
        <f>'Проверочная  таблица'!BU13+'Проверочная  таблица'!BW13</f>
        <v>0</v>
      </c>
      <c r="H11" s="446">
        <f>'Проверочная  таблица'!CC13</f>
        <v>43666625.600000001</v>
      </c>
      <c r="I11" s="447">
        <f>'Проверочная  таблица'!CF13</f>
        <v>0</v>
      </c>
      <c r="J11" s="446">
        <f>'Проверочная  таблица'!CD13</f>
        <v>4799000</v>
      </c>
      <c r="K11" s="447">
        <f>'Проверочная  таблица'!CG13</f>
        <v>0</v>
      </c>
      <c r="L11" s="448">
        <f t="shared" ref="L11:L28" si="2">N11+CH11+CX11</f>
        <v>29629777.84</v>
      </c>
      <c r="M11" s="449">
        <f t="shared" ref="M11:M28" si="3">O11+CI11+CY11</f>
        <v>11897537.75</v>
      </c>
      <c r="N11" s="71">
        <f>V11+BH11+AV11+BL11+BJ11+AT11+X11+BB11+AD11+P11+BN11+CB11+CF11+Z11+BD11+BF11+AB11+CD11+R11+BZ11+AJ11+BT11+BV11+AX11+T11+BX11+BR11+AZ11+AL11+AH11+AN11+AF11+AP11+AR11+BP11</f>
        <v>13601726.700000001</v>
      </c>
      <c r="O11" s="71">
        <f>W11+BI11+AW11+BM11+BK11+AU11+Y11+BC11+AE11+Q11+BO11+CC11+CG11+AA11+BE11+BG11+AC11+CE11+S11+CA11+AK11+BU11+BW11+AY11+U11+BY11+BS11+BA11+AM11+AI11+AO11+AG11+AQ11+AS11+BQ11</f>
        <v>0</v>
      </c>
      <c r="P11" s="449">
        <f>'Проверочная  таблица'!CX13</f>
        <v>0</v>
      </c>
      <c r="Q11" s="449">
        <f>'Проверочная  таблица'!DE13</f>
        <v>0</v>
      </c>
      <c r="R11" s="449">
        <f>'Проверочная  таблица'!CZ13+'Проверочная  таблица'!DL13</f>
        <v>0</v>
      </c>
      <c r="S11" s="68">
        <f>'Проверочная  таблица'!DG13+'Проверочная  таблица'!DO13</f>
        <v>0</v>
      </c>
      <c r="T11" s="448">
        <f>'Проверочная  таблица'!DB13</f>
        <v>0</v>
      </c>
      <c r="U11" s="68">
        <f>'Проверочная  таблица'!DI13</f>
        <v>0</v>
      </c>
      <c r="V11" s="450">
        <f>'Проверочная  таблица'!ED13</f>
        <v>0</v>
      </c>
      <c r="W11" s="449">
        <f>'Проверочная  таблица'!EG13</f>
        <v>0</v>
      </c>
      <c r="X11" s="449">
        <f>'Проверочная  таблица'!EJ13</f>
        <v>0</v>
      </c>
      <c r="Y11" s="68">
        <f>'Проверочная  таблица'!EM13</f>
        <v>0</v>
      </c>
      <c r="Z11" s="68">
        <f>'Проверочная  таблица'!EQ13</f>
        <v>0</v>
      </c>
      <c r="AA11" s="68">
        <f>'Проверочная  таблица'!EU13</f>
        <v>0</v>
      </c>
      <c r="AB11" s="449">
        <f>'Проверочная  таблица'!EX13</f>
        <v>0</v>
      </c>
      <c r="AC11" s="68">
        <f>'Проверочная  таблица'!FA13</f>
        <v>0</v>
      </c>
      <c r="AD11" s="448">
        <f>'Проверочная  таблица'!FD13+'Проверочная  таблица'!FJ13</f>
        <v>0</v>
      </c>
      <c r="AE11" s="449">
        <f>'Проверочная  таблица'!FG13+'Проверочная  таблица'!FM13</f>
        <v>0</v>
      </c>
      <c r="AF11" s="449">
        <f>'Проверочная  таблица'!GB13</f>
        <v>0</v>
      </c>
      <c r="AG11" s="449">
        <f>'Проверочная  таблица'!GE13</f>
        <v>0</v>
      </c>
      <c r="AH11" s="449">
        <f>'Проверочная  таблица'!GH13+'Проверочная  таблица'!GN13</f>
        <v>0</v>
      </c>
      <c r="AI11" s="68">
        <f>'Проверочная  таблица'!GK13+'Проверочная  таблица'!GQ13</f>
        <v>0</v>
      </c>
      <c r="AJ11" s="450">
        <f>'Проверочная  таблица'!GX13</f>
        <v>0</v>
      </c>
      <c r="AK11" s="449">
        <f>'Проверочная  таблица'!HB13</f>
        <v>0</v>
      </c>
      <c r="AL11" s="449">
        <f>'Проверочная  таблица'!HN13</f>
        <v>0</v>
      </c>
      <c r="AM11" s="449">
        <f>'Проверочная  таблица'!HQ13</f>
        <v>0</v>
      </c>
      <c r="AN11" s="449">
        <f>'Проверочная  таблица'!HT13+'Проверочная  таблица'!HZ13</f>
        <v>0</v>
      </c>
      <c r="AO11" s="449">
        <f>'Проверочная  таблица'!HW13+'Проверочная  таблица'!IC13</f>
        <v>0</v>
      </c>
      <c r="AP11" s="449">
        <f>'Проверочная  таблица'!IR13+'Проверочная  таблица'!IX13</f>
        <v>0</v>
      </c>
      <c r="AQ11" s="68">
        <f>'Проверочная  таблица'!IU13+'Проверочная  таблица'!JA13</f>
        <v>0</v>
      </c>
      <c r="AR11" s="448">
        <f>'Проверочная  таблица'!JH13</f>
        <v>0</v>
      </c>
      <c r="AS11" s="68">
        <f>'Проверочная  таблица'!JK13</f>
        <v>0</v>
      </c>
      <c r="AT11" s="448">
        <f>'Проверочная  таблица'!JN13</f>
        <v>0</v>
      </c>
      <c r="AU11" s="68">
        <f>'Проверочная  таблица'!JQ13</f>
        <v>0</v>
      </c>
      <c r="AV11" s="448">
        <f>'Проверочная  таблица'!JT13+'Проверочная  таблица'!JZ13</f>
        <v>0</v>
      </c>
      <c r="AW11" s="449">
        <f>'Проверочная  таблица'!JW13+'Проверочная  таблица'!KC13</f>
        <v>0</v>
      </c>
      <c r="AX11" s="449">
        <f>'Проверочная  таблица'!KR13+'Проверочная  таблица'!LB13</f>
        <v>691479.65</v>
      </c>
      <c r="AY11" s="68">
        <f>'Проверочная  таблица'!LG13+'Проверочная  таблица'!KW13</f>
        <v>0</v>
      </c>
      <c r="AZ11" s="449">
        <f>'Проверочная  таблица'!KT13+'Проверочная  таблица'!LD13</f>
        <v>102723.4</v>
      </c>
      <c r="BA11" s="68">
        <f>'Проверочная  таблица'!LI13+'Проверочная  таблица'!KY13</f>
        <v>0</v>
      </c>
      <c r="BB11" s="448">
        <f>'Проверочная  таблица'!LY13+'Проверочная  таблица'!MG13</f>
        <v>5900400</v>
      </c>
      <c r="BC11" s="68">
        <f>'Проверочная  таблица'!MK13+'Проверочная  таблица'!MC13</f>
        <v>0</v>
      </c>
      <c r="BD11" s="449">
        <f>'Проверочная  таблица'!NF13</f>
        <v>0</v>
      </c>
      <c r="BE11" s="68">
        <f>'Проверочная  таблица'!NN13</f>
        <v>0</v>
      </c>
      <c r="BF11" s="449">
        <f>'Проверочная  таблица'!ND13</f>
        <v>0</v>
      </c>
      <c r="BG11" s="68">
        <f>'Проверочная  таблица'!NL13</f>
        <v>0</v>
      </c>
      <c r="BH11" s="448">
        <f>'Проверочная  таблица'!NI13+'Проверочная  таблица'!NT13</f>
        <v>118506.83</v>
      </c>
      <c r="BI11" s="449">
        <f>'Проверочная  таблица'!NW13+'Проверочная  таблица'!NQ13</f>
        <v>0</v>
      </c>
      <c r="BJ11" s="68">
        <f>'Проверочная  таблица'!OL13</f>
        <v>0</v>
      </c>
      <c r="BK11" s="68">
        <f>'Проверочная  таблица'!OP13</f>
        <v>0</v>
      </c>
      <c r="BL11" s="448">
        <f>'Проверочная  таблица'!OT13+'Проверочная  таблица'!PB13</f>
        <v>0</v>
      </c>
      <c r="BM11" s="449">
        <f>'Проверочная  таблица'!OX13+'Проверочная  таблица'!PF13</f>
        <v>0</v>
      </c>
      <c r="BN11" s="449">
        <f>'Проверочная  таблица'!QJ13+'Проверочная  таблица'!PZ13</f>
        <v>0</v>
      </c>
      <c r="BO11" s="68">
        <f>'Проверочная  таблица'!QM13+'Проверочная  таблица'!QE13</f>
        <v>0</v>
      </c>
      <c r="BP11" s="449"/>
      <c r="BQ11" s="68"/>
      <c r="BR11" s="448">
        <f>'Проверочная  таблица'!RB13</f>
        <v>0</v>
      </c>
      <c r="BS11" s="68">
        <f>'Проверочная  таблица'!RE13</f>
        <v>0</v>
      </c>
      <c r="BT11" s="448">
        <f>'Проверочная  таблица'!RH13+'Проверочная  таблица'!RN13</f>
        <v>0</v>
      </c>
      <c r="BU11" s="68">
        <f>'Проверочная  таблица'!RK13+'Проверочная  таблица'!RQ13</f>
        <v>0</v>
      </c>
      <c r="BV11" s="448">
        <f>'Проверочная  таблица'!SF13</f>
        <v>0</v>
      </c>
      <c r="BW11" s="449">
        <f>'Проверочная  таблица'!SI13</f>
        <v>0</v>
      </c>
      <c r="BX11" s="449">
        <f>'Проверочная  таблица'!SM13</f>
        <v>0</v>
      </c>
      <c r="BY11" s="68">
        <f>'Проверочная  таблица'!SQ13</f>
        <v>0</v>
      </c>
      <c r="BZ11" s="448">
        <f>'Проверочная  таблица'!ST13</f>
        <v>0</v>
      </c>
      <c r="CA11" s="449">
        <f>'Проверочная  таблица'!SW13</f>
        <v>0</v>
      </c>
      <c r="CB11" s="449">
        <f>'Проверочная  таблица'!TN13+'Проверочная  таблица'!SZ13</f>
        <v>6788616.8200000003</v>
      </c>
      <c r="CC11" s="68">
        <f>'Проверочная  таблица'!TU13+'Проверочная  таблица'!TG13</f>
        <v>0</v>
      </c>
      <c r="CD11" s="448">
        <f>'Проверочная  таблица'!TB13+'Проверочная  таблица'!TP13</f>
        <v>0</v>
      </c>
      <c r="CE11" s="449">
        <f>'Проверочная  таблица'!TW13+'Проверочная  таблица'!TI13</f>
        <v>0</v>
      </c>
      <c r="CF11" s="449">
        <f>'Проверочная  таблица'!TR13+'Проверочная  таблица'!TD13</f>
        <v>0</v>
      </c>
      <c r="CG11" s="68">
        <f>'Проверочная  таблица'!TY13+'Проверочная  таблица'!TK13</f>
        <v>0</v>
      </c>
      <c r="CH11" s="449">
        <f>CV11+CJ11+CP11+CL11+CN11+CR11+CT11</f>
        <v>6357731.4100000001</v>
      </c>
      <c r="CI11" s="449">
        <f>CW11+CK11+CQ11+CM11+CO11+CS11+CU11</f>
        <v>2570304.7999999998</v>
      </c>
      <c r="CJ11" s="71">
        <f>'Проверочная  таблица'!VV13+'Проверочная  таблица'!VT13</f>
        <v>2362800</v>
      </c>
      <c r="CK11" s="71">
        <f>'Проверочная  таблица'!VW13+'Проверочная  таблица'!VU13</f>
        <v>287629.21000000002</v>
      </c>
      <c r="CL11" s="79">
        <f>'Проверочная  таблица'!VX13</f>
        <v>0</v>
      </c>
      <c r="CM11" s="79">
        <f>'Проверочная  таблица'!VY13</f>
        <v>0</v>
      </c>
      <c r="CN11" s="451">
        <f>'Проверочная  таблица'!VZ13</f>
        <v>0</v>
      </c>
      <c r="CO11" s="452">
        <f>'Проверочная  таблица'!WA13</f>
        <v>0</v>
      </c>
      <c r="CP11" s="453">
        <f>'Проверочная  таблица'!WB13</f>
        <v>0</v>
      </c>
      <c r="CQ11" s="452">
        <f>'Проверочная  таблица'!WC13</f>
        <v>0</v>
      </c>
      <c r="CR11" s="453">
        <f>'Проверочная  таблица'!WD13</f>
        <v>0</v>
      </c>
      <c r="CS11" s="451">
        <f>'Проверочная  таблица'!WE13</f>
        <v>0</v>
      </c>
      <c r="CT11" s="449">
        <f>'Проверочная  таблица'!WH13</f>
        <v>3144931.41</v>
      </c>
      <c r="CU11" s="449">
        <f>'Проверочная  таблица'!WK13</f>
        <v>1684156</v>
      </c>
      <c r="CV11" s="449">
        <f>'Проверочная  таблица'!WN13</f>
        <v>850000</v>
      </c>
      <c r="CW11" s="449">
        <f>'Проверочная  таблица'!WQ13</f>
        <v>598519.59</v>
      </c>
      <c r="CX11" s="449">
        <f>DD11+DB11+CZ11</f>
        <v>9670319.7300000004</v>
      </c>
      <c r="CY11" s="68">
        <f>DE11+DC11+DA11</f>
        <v>9327232.9499999993</v>
      </c>
      <c r="CZ11" s="454">
        <f>'Проверочная  таблица'!WV13</f>
        <v>0</v>
      </c>
      <c r="DA11" s="455">
        <f>'Проверочная  таблица'!WY13</f>
        <v>0</v>
      </c>
      <c r="DB11" s="449">
        <f>'Проверочная  таблица'!XB13</f>
        <v>1024552.7300000001</v>
      </c>
      <c r="DC11" s="68">
        <f>'Проверочная  таблица'!XE13</f>
        <v>681465.95</v>
      </c>
      <c r="DD11" s="448">
        <f>'Проверочная  таблица'!XH13</f>
        <v>8645767</v>
      </c>
      <c r="DE11" s="68">
        <f>'Проверочная  таблица'!XK13</f>
        <v>8645767</v>
      </c>
      <c r="DG11" s="456">
        <f t="shared" ref="DG11:DH36" si="4">(CH11-CJ11)/1000</f>
        <v>3994.9314100000001</v>
      </c>
      <c r="DH11" s="456">
        <f t="shared" si="4"/>
        <v>2282.6755899999998</v>
      </c>
    </row>
    <row r="12" spans="1:112" ht="25.5" customHeight="1" x14ac:dyDescent="0.25">
      <c r="A12" s="70" t="s">
        <v>319</v>
      </c>
      <c r="B12" s="457">
        <f t="shared" si="0"/>
        <v>468067746.06</v>
      </c>
      <c r="C12" s="458">
        <f t="shared" si="1"/>
        <v>154574187.28999999</v>
      </c>
      <c r="D12" s="1048">
        <f t="shared" ref="D12:D28" si="5">F12+J12+H12</f>
        <v>56538000</v>
      </c>
      <c r="E12" s="1049">
        <f t="shared" ref="E12:E28" si="6">G12+K12+I12</f>
        <v>0</v>
      </c>
      <c r="F12" s="445">
        <f>'Проверочная  таблица'!BT17+'Проверочная  таблица'!BV17</f>
        <v>0</v>
      </c>
      <c r="G12" s="446">
        <f>'Проверочная  таблица'!BU17+'Проверочная  таблица'!BW17</f>
        <v>0</v>
      </c>
      <c r="H12" s="446">
        <f>'Проверочная  таблица'!CC17</f>
        <v>49290000</v>
      </c>
      <c r="I12" s="447">
        <f>'Проверочная  таблица'!CF17</f>
        <v>0</v>
      </c>
      <c r="J12" s="446">
        <f>'Проверочная  таблица'!CD17</f>
        <v>7248000</v>
      </c>
      <c r="K12" s="447">
        <f>'Проверочная  таблица'!CG17</f>
        <v>0</v>
      </c>
      <c r="L12" s="77">
        <f t="shared" si="2"/>
        <v>411529746.06</v>
      </c>
      <c r="M12" s="78">
        <f t="shared" si="3"/>
        <v>154574187.28999999</v>
      </c>
      <c r="N12" s="71">
        <f t="shared" ref="N12:N28" si="7">V12+BH12+AV12+BL12+BJ12+AT12+X12+BB12+AD12+P12+BN12+CB12+CF12+Z12+BD12+BF12+AB12+CD12+R12+BZ12+AJ12+BT12+BV12+AX12+T12+BX12+BR12+AZ12+AL12+AH12+AN12+AF12+AP12+AR12+BP12</f>
        <v>340107704.50999999</v>
      </c>
      <c r="O12" s="71">
        <f t="shared" ref="O12:O28" si="8">W12+BI12+AW12+BM12+BK12+AU12+Y12+BC12+AE12+Q12+BO12+CC12+CG12+AA12+BE12+BG12+AC12+CE12+S12+CA12+AK12+BU12+BW12+AY12+U12+BY12+BS12+BA12+AM12+AI12+AO12+AG12+AQ12+AS12+BQ12</f>
        <v>96633987.030000001</v>
      </c>
      <c r="P12" s="78">
        <f>'Проверочная  таблица'!CX17</f>
        <v>0</v>
      </c>
      <c r="Q12" s="78">
        <f>'Проверочная  таблица'!DE17</f>
        <v>0</v>
      </c>
      <c r="R12" s="78">
        <f>'Проверочная  таблица'!CZ17+'Проверочная  таблица'!DL17</f>
        <v>0</v>
      </c>
      <c r="S12" s="73">
        <f>'Проверочная  таблица'!DG17+'Проверочная  таблица'!DO17</f>
        <v>0</v>
      </c>
      <c r="T12" s="77">
        <f>'Проверочная  таблица'!DB17</f>
        <v>0</v>
      </c>
      <c r="U12" s="73">
        <f>'Проверочная  таблица'!DI17</f>
        <v>0</v>
      </c>
      <c r="V12" s="79">
        <f>'Проверочная  таблица'!ED17</f>
        <v>2991400</v>
      </c>
      <c r="W12" s="78">
        <f>'Проверочная  таблица'!EG17</f>
        <v>0</v>
      </c>
      <c r="X12" s="78">
        <f>'Проверочная  таблица'!EJ17</f>
        <v>0</v>
      </c>
      <c r="Y12" s="73">
        <f>'Проверочная  таблица'!EM17</f>
        <v>0</v>
      </c>
      <c r="Z12" s="73">
        <f>'Проверочная  таблица'!EQ17</f>
        <v>0</v>
      </c>
      <c r="AA12" s="73">
        <f>'Проверочная  таблица'!EU17</f>
        <v>0</v>
      </c>
      <c r="AB12" s="78">
        <f>'Проверочная  таблица'!EX17</f>
        <v>0</v>
      </c>
      <c r="AC12" s="73">
        <f>'Проверочная  таблица'!FA17</f>
        <v>0</v>
      </c>
      <c r="AD12" s="77">
        <f>'Проверочная  таблица'!FD17+'Проверочная  таблица'!FJ17</f>
        <v>0</v>
      </c>
      <c r="AE12" s="78">
        <f>'Проверочная  таблица'!FG17+'Проверочная  таблица'!FM17</f>
        <v>0</v>
      </c>
      <c r="AF12" s="78">
        <f>'Проверочная  таблица'!GB17</f>
        <v>0</v>
      </c>
      <c r="AG12" s="78">
        <f>'Проверочная  таблица'!GE17</f>
        <v>0</v>
      </c>
      <c r="AH12" s="78">
        <f>'Проверочная  таблица'!GH17+'Проверочная  таблица'!GN17</f>
        <v>0</v>
      </c>
      <c r="AI12" s="73">
        <f>'Проверочная  таблица'!GK17+'Проверочная  таблица'!GQ17</f>
        <v>0</v>
      </c>
      <c r="AJ12" s="79">
        <f>'Проверочная  таблица'!GX17</f>
        <v>0</v>
      </c>
      <c r="AK12" s="78">
        <f>'Проверочная  таблица'!HB17</f>
        <v>0</v>
      </c>
      <c r="AL12" s="78">
        <f>'Проверочная  таблица'!HN17</f>
        <v>0</v>
      </c>
      <c r="AM12" s="78">
        <f>'Проверочная  таблица'!HQ17</f>
        <v>0</v>
      </c>
      <c r="AN12" s="78">
        <f>'Проверочная  таблица'!HT17+'Проверочная  таблица'!HZ17</f>
        <v>92125100</v>
      </c>
      <c r="AO12" s="78">
        <f>'Проверочная  таблица'!HW17+'Проверочная  таблица'!IC17</f>
        <v>74411434.299999997</v>
      </c>
      <c r="AP12" s="78">
        <f>'Проверочная  таблица'!IR17+'Проверочная  таблица'!IX17</f>
        <v>0</v>
      </c>
      <c r="AQ12" s="73">
        <f>'Проверочная  таблица'!IU17+'Проверочная  таблица'!JA17</f>
        <v>0</v>
      </c>
      <c r="AR12" s="77">
        <f>'Проверочная  таблица'!JH17</f>
        <v>0</v>
      </c>
      <c r="AS12" s="73">
        <f>'Проверочная  таблица'!JK17</f>
        <v>0</v>
      </c>
      <c r="AT12" s="77">
        <f>'Проверочная  таблица'!JN17</f>
        <v>0</v>
      </c>
      <c r="AU12" s="73">
        <f>'Проверочная  таблица'!JQ17</f>
        <v>0</v>
      </c>
      <c r="AV12" s="77">
        <f>'Проверочная  таблица'!JT17+'Проверочная  таблица'!JZ17</f>
        <v>0</v>
      </c>
      <c r="AW12" s="78">
        <f>'Проверочная  таблица'!JW17+'Проверочная  таблица'!KC17</f>
        <v>0</v>
      </c>
      <c r="AX12" s="78">
        <f>'Проверочная  таблица'!KR17+'Проверочная  таблица'!LB17</f>
        <v>462418.86</v>
      </c>
      <c r="AY12" s="73">
        <f>'Проверочная  таблица'!LG17+'Проверочная  таблица'!KW17</f>
        <v>0</v>
      </c>
      <c r="AZ12" s="78">
        <f>'Проверочная  таблица'!KT17+'Проверочная  таблица'!LD17</f>
        <v>1645916.6</v>
      </c>
      <c r="BA12" s="73">
        <f>'Проверочная  таблица'!LI17+'Проверочная  таблица'!KY17</f>
        <v>0</v>
      </c>
      <c r="BB12" s="77">
        <f>'Проверочная  таблица'!LY17+'Проверочная  таблица'!MG17</f>
        <v>0</v>
      </c>
      <c r="BC12" s="73">
        <f>'Проверочная  таблица'!MK17+'Проверочная  таблица'!MC17</f>
        <v>0</v>
      </c>
      <c r="BD12" s="78">
        <f>'Проверочная  таблица'!NF17</f>
        <v>0</v>
      </c>
      <c r="BE12" s="73">
        <f>'Проверочная  таблица'!NN17</f>
        <v>0</v>
      </c>
      <c r="BF12" s="78">
        <f>'Проверочная  таблица'!ND17</f>
        <v>0</v>
      </c>
      <c r="BG12" s="73">
        <f>'Проверочная  таблица'!NL17</f>
        <v>0</v>
      </c>
      <c r="BH12" s="77">
        <f>'Проверочная  таблица'!NI17+'Проверочная  таблица'!NT17</f>
        <v>92304142.409999996</v>
      </c>
      <c r="BI12" s="78">
        <f>'Проверочная  таблица'!NW17+'Проверочная  таблица'!NQ17</f>
        <v>179042.4</v>
      </c>
      <c r="BJ12" s="73">
        <f>'Проверочная  таблица'!OL17</f>
        <v>0</v>
      </c>
      <c r="BK12" s="73">
        <f>'Проверочная  таблица'!OP17</f>
        <v>0</v>
      </c>
      <c r="BL12" s="77">
        <f>'Проверочная  таблица'!OT17+'Проверочная  таблица'!PB17</f>
        <v>26000000</v>
      </c>
      <c r="BM12" s="78">
        <f>'Проверочная  таблица'!OX17+'Проверочная  таблица'!PF17</f>
        <v>22043510.329999998</v>
      </c>
      <c r="BN12" s="78">
        <f>'Проверочная  таблица'!QJ17+'Проверочная  таблица'!PZ17</f>
        <v>1290526.6400000001</v>
      </c>
      <c r="BO12" s="73">
        <f>'Проверочная  таблица'!QM17+'Проверочная  таблица'!QE17</f>
        <v>0</v>
      </c>
      <c r="BP12" s="78"/>
      <c r="BQ12" s="73"/>
      <c r="BR12" s="77">
        <f>'Проверочная  таблица'!RB17</f>
        <v>0</v>
      </c>
      <c r="BS12" s="73">
        <f>'Проверочная  таблица'!RE17</f>
        <v>0</v>
      </c>
      <c r="BT12" s="77">
        <f>'Проверочная  таблица'!RH17+'Проверочная  таблица'!RN17</f>
        <v>0</v>
      </c>
      <c r="BU12" s="73">
        <f>'Проверочная  таблица'!RK17+'Проверочная  таблица'!RQ17</f>
        <v>0</v>
      </c>
      <c r="BV12" s="77">
        <f>'Проверочная  таблица'!SF17</f>
        <v>0</v>
      </c>
      <c r="BW12" s="78">
        <f>'Проверочная  таблица'!SI17</f>
        <v>0</v>
      </c>
      <c r="BX12" s="78">
        <f>'Проверочная  таблица'!SM17</f>
        <v>0</v>
      </c>
      <c r="BY12" s="73">
        <f>'Проверочная  таблица'!SQ17</f>
        <v>0</v>
      </c>
      <c r="BZ12" s="77">
        <f>'Проверочная  таблица'!ST17</f>
        <v>0</v>
      </c>
      <c r="CA12" s="78">
        <f>'Проверочная  таблица'!SW17</f>
        <v>0</v>
      </c>
      <c r="CB12" s="78">
        <f>'Проверочная  таблица'!TN17+'Проверочная  таблица'!SZ17</f>
        <v>0</v>
      </c>
      <c r="CC12" s="73">
        <f>'Проверочная  таблица'!TU17+'Проверочная  таблица'!TG17</f>
        <v>0</v>
      </c>
      <c r="CD12" s="77">
        <f>'Проверочная  таблица'!TB17+'Проверочная  таблица'!TP17</f>
        <v>0</v>
      </c>
      <c r="CE12" s="78">
        <f>'Проверочная  таблица'!TW17+'Проверочная  таблица'!TI17</f>
        <v>0</v>
      </c>
      <c r="CF12" s="78">
        <f>'Проверочная  таблица'!TR17+'Проверочная  таблица'!TD17</f>
        <v>123288200</v>
      </c>
      <c r="CG12" s="73">
        <f>'Проверочная  таблица'!TY17+'Проверочная  таблица'!TK17</f>
        <v>0</v>
      </c>
      <c r="CH12" s="78">
        <f t="shared" ref="CH12:CI28" si="9">CV12+CJ12+CP12+CL12+CN12+CR12+CT12</f>
        <v>33391672.73</v>
      </c>
      <c r="CI12" s="78">
        <f t="shared" si="9"/>
        <v>21733831.440000001</v>
      </c>
      <c r="CJ12" s="73">
        <f>'Проверочная  таблица'!VV17+'Проверочная  таблица'!VT17</f>
        <v>3142100</v>
      </c>
      <c r="CK12" s="73">
        <f>'Проверочная  таблица'!VW17+'Проверочная  таблица'!VU17</f>
        <v>1370410.1199999999</v>
      </c>
      <c r="CL12" s="79">
        <f>'Проверочная  таблица'!VX17</f>
        <v>0</v>
      </c>
      <c r="CM12" s="79">
        <f>'Проверочная  таблица'!VY17</f>
        <v>0</v>
      </c>
      <c r="CN12" s="461">
        <f>'Проверочная  таблица'!VZ17</f>
        <v>0</v>
      </c>
      <c r="CO12" s="462">
        <f>'Проверочная  таблица'!WA17</f>
        <v>0</v>
      </c>
      <c r="CP12" s="463">
        <f>'Проверочная  таблица'!WB17</f>
        <v>0</v>
      </c>
      <c r="CQ12" s="462">
        <f>'Проверочная  таблица'!WC17</f>
        <v>0</v>
      </c>
      <c r="CR12" s="463">
        <f>'Проверочная  таблица'!WD17</f>
        <v>0</v>
      </c>
      <c r="CS12" s="461">
        <f>'Проверочная  таблица'!WE17</f>
        <v>0</v>
      </c>
      <c r="CT12" s="78">
        <f>'Проверочная  таблица'!WH17</f>
        <v>29129572.73</v>
      </c>
      <c r="CU12" s="78">
        <f>'Проверочная  таблица'!WK17</f>
        <v>19418000</v>
      </c>
      <c r="CV12" s="78">
        <f>'Проверочная  таблица'!WN17</f>
        <v>1120000</v>
      </c>
      <c r="CW12" s="78">
        <f>'Проверочная  таблица'!WQ17</f>
        <v>945421.32</v>
      </c>
      <c r="CX12" s="78">
        <f t="shared" ref="CX12:CY28" si="10">DD12+DB12+CZ12</f>
        <v>38030368.82</v>
      </c>
      <c r="CY12" s="73">
        <f t="shared" si="10"/>
        <v>36206368.82</v>
      </c>
      <c r="CZ12" s="77">
        <f>'Проверочная  таблица'!WV17</f>
        <v>0</v>
      </c>
      <c r="DA12" s="73">
        <f>'Проверочная  таблица'!WY17</f>
        <v>0</v>
      </c>
      <c r="DB12" s="77">
        <f>'Проверочная  таблица'!XB17</f>
        <v>5378901.8200000003</v>
      </c>
      <c r="DC12" s="73">
        <f>'Проверочная  таблица'!XE17</f>
        <v>3554901.82</v>
      </c>
      <c r="DD12" s="77">
        <f>'Проверочная  таблица'!XH17</f>
        <v>32651467</v>
      </c>
      <c r="DE12" s="73">
        <f>'Проверочная  таблица'!XK17</f>
        <v>32651467</v>
      </c>
      <c r="DG12" s="456">
        <f t="shared" si="4"/>
        <v>30249.57273</v>
      </c>
      <c r="DH12" s="456">
        <f t="shared" si="4"/>
        <v>20363.421320000001</v>
      </c>
    </row>
    <row r="13" spans="1:112" ht="25.5" customHeight="1" x14ac:dyDescent="0.25">
      <c r="A13" s="54" t="s">
        <v>320</v>
      </c>
      <c r="B13" s="457">
        <f t="shared" si="0"/>
        <v>334725031.48000002</v>
      </c>
      <c r="C13" s="458">
        <f t="shared" si="1"/>
        <v>100134426.33</v>
      </c>
      <c r="D13" s="1048">
        <f t="shared" si="5"/>
        <v>62224778</v>
      </c>
      <c r="E13" s="1049">
        <f t="shared" si="6"/>
        <v>0</v>
      </c>
      <c r="F13" s="445">
        <f>'Проверочная  таблица'!BT18+'Проверочная  таблица'!BV18</f>
        <v>0</v>
      </c>
      <c r="G13" s="446">
        <f>'Проверочная  таблица'!BU18+'Проверочная  таблица'!BW18</f>
        <v>0</v>
      </c>
      <c r="H13" s="446">
        <f>'Проверочная  таблица'!CC18</f>
        <v>36031778</v>
      </c>
      <c r="I13" s="447">
        <f>'Проверочная  таблица'!CF18</f>
        <v>0</v>
      </c>
      <c r="J13" s="446">
        <f>'Проверочная  таблица'!CD18</f>
        <v>26193000</v>
      </c>
      <c r="K13" s="447">
        <f>'Проверочная  таблица'!CG18</f>
        <v>0</v>
      </c>
      <c r="L13" s="77">
        <f t="shared" si="2"/>
        <v>272500253.48000002</v>
      </c>
      <c r="M13" s="78">
        <f t="shared" si="3"/>
        <v>100134426.33</v>
      </c>
      <c r="N13" s="71">
        <f t="shared" si="7"/>
        <v>240158759.16999999</v>
      </c>
      <c r="O13" s="71">
        <f t="shared" si="8"/>
        <v>76762978.060000002</v>
      </c>
      <c r="P13" s="78">
        <f>'Проверочная  таблица'!CX18</f>
        <v>0</v>
      </c>
      <c r="Q13" s="78">
        <f>'Проверочная  таблица'!DE18</f>
        <v>0</v>
      </c>
      <c r="R13" s="78">
        <f>'Проверочная  таблица'!CZ18+'Проверочная  таблица'!DL18</f>
        <v>0</v>
      </c>
      <c r="S13" s="73">
        <f>'Проверочная  таблица'!DG18+'Проверочная  таблица'!DO18</f>
        <v>0</v>
      </c>
      <c r="T13" s="77">
        <f>'Проверочная  таблица'!DB18</f>
        <v>0</v>
      </c>
      <c r="U13" s="73">
        <f>'Проверочная  таблица'!DI18</f>
        <v>0</v>
      </c>
      <c r="V13" s="79">
        <f>'Проверочная  таблица'!ED18</f>
        <v>0</v>
      </c>
      <c r="W13" s="78">
        <f>'Проверочная  таблица'!EG18</f>
        <v>0</v>
      </c>
      <c r="X13" s="78">
        <f>'Проверочная  таблица'!EJ18</f>
        <v>0</v>
      </c>
      <c r="Y13" s="73">
        <f>'Проверочная  таблица'!EM18</f>
        <v>0</v>
      </c>
      <c r="Z13" s="73">
        <f>'Проверочная  таблица'!EQ18</f>
        <v>0</v>
      </c>
      <c r="AA13" s="73">
        <f>'Проверочная  таблица'!EU18</f>
        <v>0</v>
      </c>
      <c r="AB13" s="78">
        <f>'Проверочная  таблица'!EX18</f>
        <v>0</v>
      </c>
      <c r="AC13" s="73">
        <f>'Проверочная  таблица'!FA18</f>
        <v>0</v>
      </c>
      <c r="AD13" s="77">
        <f>'Проверочная  таблица'!FD18+'Проверочная  таблица'!FJ18</f>
        <v>0</v>
      </c>
      <c r="AE13" s="78">
        <f>'Проверочная  таблица'!FG18+'Проверочная  таблица'!FM18</f>
        <v>0</v>
      </c>
      <c r="AF13" s="78">
        <f>'Проверочная  таблица'!GB18</f>
        <v>0</v>
      </c>
      <c r="AG13" s="78">
        <f>'Проверочная  таблица'!GE18</f>
        <v>0</v>
      </c>
      <c r="AH13" s="78">
        <f>'Проверочная  таблица'!GH18+'Проверочная  таблица'!GN18</f>
        <v>0</v>
      </c>
      <c r="AI13" s="73">
        <f>'Проверочная  таблица'!GK18+'Проверочная  таблица'!GQ18</f>
        <v>0</v>
      </c>
      <c r="AJ13" s="79">
        <f>'Проверочная  таблица'!GX18</f>
        <v>47088003.100000001</v>
      </c>
      <c r="AK13" s="78">
        <f>'Проверочная  таблица'!HB18</f>
        <v>0</v>
      </c>
      <c r="AL13" s="78">
        <f>'Проверочная  таблица'!HN18</f>
        <v>0</v>
      </c>
      <c r="AM13" s="78">
        <f>'Проверочная  таблица'!HQ18</f>
        <v>0</v>
      </c>
      <c r="AN13" s="78">
        <f>'Проверочная  таблица'!HT18+'Проверочная  таблица'!HZ18</f>
        <v>72384000</v>
      </c>
      <c r="AO13" s="78">
        <f>'Проверочная  таблица'!HW18+'Проверочная  таблица'!IC18</f>
        <v>69810654.439999998</v>
      </c>
      <c r="AP13" s="78">
        <f>'Проверочная  таблица'!IR18+'Проверочная  таблица'!IX18</f>
        <v>0</v>
      </c>
      <c r="AQ13" s="73">
        <f>'Проверочная  таблица'!IU18+'Проверочная  таблица'!JA18</f>
        <v>0</v>
      </c>
      <c r="AR13" s="77">
        <f>'Проверочная  таблица'!JH18</f>
        <v>0</v>
      </c>
      <c r="AS13" s="73">
        <f>'Проверочная  таблица'!JK18</f>
        <v>0</v>
      </c>
      <c r="AT13" s="77">
        <f>'Проверочная  таблица'!JN18</f>
        <v>0</v>
      </c>
      <c r="AU13" s="73">
        <f>'Проверочная  таблица'!JQ18</f>
        <v>0</v>
      </c>
      <c r="AV13" s="77">
        <f>'Проверочная  таблица'!JT18+'Проверочная  таблица'!JZ18</f>
        <v>0</v>
      </c>
      <c r="AW13" s="78">
        <f>'Проверочная  таблица'!JW18+'Проверочная  таблица'!KC18</f>
        <v>0</v>
      </c>
      <c r="AX13" s="78">
        <f>'Проверочная  таблица'!KR18+'Проверочная  таблица'!LB18</f>
        <v>461551.64</v>
      </c>
      <c r="AY13" s="73">
        <f>'Проверочная  таблица'!LG18+'Проверочная  таблица'!KW18</f>
        <v>0</v>
      </c>
      <c r="AZ13" s="78">
        <f>'Проверочная  таблица'!KT18+'Проверочная  таблица'!LD18</f>
        <v>38899.97</v>
      </c>
      <c r="BA13" s="73">
        <f>'Проверочная  таблица'!LI18+'Проверочная  таблица'!KY18</f>
        <v>0</v>
      </c>
      <c r="BB13" s="77">
        <f>'Проверочная  таблица'!LY18+'Проверочная  таблица'!MG18</f>
        <v>0</v>
      </c>
      <c r="BC13" s="73">
        <f>'Проверочная  таблица'!MK18+'Проверочная  таблица'!MC18</f>
        <v>0</v>
      </c>
      <c r="BD13" s="78">
        <f>'Проверочная  таблица'!NF18</f>
        <v>0</v>
      </c>
      <c r="BE13" s="73">
        <f>'Проверочная  таблица'!NN18</f>
        <v>0</v>
      </c>
      <c r="BF13" s="78">
        <f>'Проверочная  таблица'!ND18</f>
        <v>0</v>
      </c>
      <c r="BG13" s="73">
        <f>'Проверочная  таблица'!NL18</f>
        <v>0</v>
      </c>
      <c r="BH13" s="77">
        <f>'Проверочная  таблица'!NI18+'Проверочная  таблица'!NT18</f>
        <v>72600139.530000001</v>
      </c>
      <c r="BI13" s="78">
        <f>'Проверочная  таблица'!NW18+'Проверочная  таблица'!NQ18</f>
        <v>0</v>
      </c>
      <c r="BJ13" s="73">
        <f>'Проверочная  таблица'!OL18</f>
        <v>0</v>
      </c>
      <c r="BK13" s="73">
        <f>'Проверочная  таблица'!OP18</f>
        <v>0</v>
      </c>
      <c r="BL13" s="77">
        <f>'Проверочная  таблица'!OT18+'Проверочная  таблица'!PB18</f>
        <v>26736045.079999998</v>
      </c>
      <c r="BM13" s="78">
        <f>'Проверочная  таблица'!OX18+'Проверочная  таблица'!PF18</f>
        <v>6016090.1699999999</v>
      </c>
      <c r="BN13" s="78">
        <f>'Проверочная  таблица'!QJ18+'Проверочная  таблица'!PZ18</f>
        <v>1615705.51</v>
      </c>
      <c r="BO13" s="73">
        <f>'Проверочная  таблица'!QM18+'Проверочная  таблица'!QE18</f>
        <v>0</v>
      </c>
      <c r="BP13" s="78"/>
      <c r="BQ13" s="73"/>
      <c r="BR13" s="77">
        <f>'Проверочная  таблица'!RB18</f>
        <v>0</v>
      </c>
      <c r="BS13" s="73">
        <f>'Проверочная  таблица'!RE18</f>
        <v>0</v>
      </c>
      <c r="BT13" s="77">
        <f>'Проверочная  таблица'!RH18+'Проверочная  таблица'!RN18</f>
        <v>0</v>
      </c>
      <c r="BU13" s="73">
        <f>'Проверочная  таблица'!RK18+'Проверочная  таблица'!RQ18</f>
        <v>0</v>
      </c>
      <c r="BV13" s="77">
        <f>'Проверочная  таблица'!SF18</f>
        <v>0</v>
      </c>
      <c r="BW13" s="78">
        <f>'Проверочная  таблица'!SI18</f>
        <v>0</v>
      </c>
      <c r="BX13" s="78">
        <f>'Проверочная  таблица'!SM18</f>
        <v>0</v>
      </c>
      <c r="BY13" s="73">
        <f>'Проверочная  таблица'!SQ18</f>
        <v>0</v>
      </c>
      <c r="BZ13" s="77">
        <f>'Проверочная  таблица'!ST18</f>
        <v>0</v>
      </c>
      <c r="CA13" s="78">
        <f>'Проверочная  таблица'!SW18</f>
        <v>0</v>
      </c>
      <c r="CB13" s="78">
        <f>'Проверочная  таблица'!TN18+'Проверочная  таблица'!SZ18</f>
        <v>19234414.34</v>
      </c>
      <c r="CC13" s="73">
        <f>'Проверочная  таблица'!TU18+'Проверочная  таблица'!TG18</f>
        <v>936233.45</v>
      </c>
      <c r="CD13" s="77">
        <f>'Проверочная  таблица'!TB18+'Проверочная  таблица'!TP18</f>
        <v>0</v>
      </c>
      <c r="CE13" s="78">
        <f>'Проверочная  таблица'!TW18+'Проверочная  таблица'!TI18</f>
        <v>0</v>
      </c>
      <c r="CF13" s="78">
        <f>'Проверочная  таблица'!TR18+'Проверочная  таблица'!TD18</f>
        <v>0</v>
      </c>
      <c r="CG13" s="73">
        <f>'Проверочная  таблица'!TY18+'Проверочная  таблица'!TK18</f>
        <v>0</v>
      </c>
      <c r="CH13" s="78">
        <f t="shared" si="9"/>
        <v>15316035.4</v>
      </c>
      <c r="CI13" s="78">
        <f t="shared" si="9"/>
        <v>6923604.1299999999</v>
      </c>
      <c r="CJ13" s="73">
        <f>'Проверочная  таблица'!VV18+'Проверочная  таблица'!VT18</f>
        <v>2100700</v>
      </c>
      <c r="CK13" s="73">
        <f>'Проверочная  таблица'!VW18+'Проверочная  таблица'!VU18</f>
        <v>730707.38</v>
      </c>
      <c r="CL13" s="79">
        <f>'Проверочная  таблица'!VX18</f>
        <v>0</v>
      </c>
      <c r="CM13" s="79">
        <f>'Проверочная  таблица'!VY18</f>
        <v>0</v>
      </c>
      <c r="CN13" s="461">
        <f>'Проверочная  таблица'!VZ18</f>
        <v>0</v>
      </c>
      <c r="CO13" s="462">
        <f>'Проверочная  таблица'!WA18</f>
        <v>0</v>
      </c>
      <c r="CP13" s="463">
        <f>'Проверочная  таблица'!WB18</f>
        <v>1553000</v>
      </c>
      <c r="CQ13" s="462">
        <f>'Проверочная  таблица'!WC18</f>
        <v>0</v>
      </c>
      <c r="CR13" s="463">
        <f>'Проверочная  таблица'!WD18</f>
        <v>0</v>
      </c>
      <c r="CS13" s="461">
        <f>'Проверочная  таблица'!WE18</f>
        <v>0</v>
      </c>
      <c r="CT13" s="78">
        <f>'Проверочная  таблица'!WH18</f>
        <v>10507335.4</v>
      </c>
      <c r="CU13" s="78">
        <f>'Проверочная  таблица'!WK18</f>
        <v>5804800</v>
      </c>
      <c r="CV13" s="78">
        <f>'Проверочная  таблица'!WN18</f>
        <v>1155000</v>
      </c>
      <c r="CW13" s="78">
        <f>'Проверочная  таблица'!WQ18</f>
        <v>388096.75</v>
      </c>
      <c r="CX13" s="78">
        <f t="shared" si="10"/>
        <v>17025458.91</v>
      </c>
      <c r="CY13" s="73">
        <f t="shared" si="10"/>
        <v>16447844.140000001</v>
      </c>
      <c r="CZ13" s="77">
        <f>'Проверочная  таблица'!WV18</f>
        <v>0</v>
      </c>
      <c r="DA13" s="73">
        <f>'Проверочная  таблица'!WY18</f>
        <v>0</v>
      </c>
      <c r="DB13" s="77">
        <f>'Проверочная  таблица'!XB18</f>
        <v>1280690.9099999999</v>
      </c>
      <c r="DC13" s="73">
        <f>'Проверочная  таблица'!XE18</f>
        <v>757844.14</v>
      </c>
      <c r="DD13" s="77">
        <f>'Проверочная  таблица'!XH18</f>
        <v>15744768</v>
      </c>
      <c r="DE13" s="73">
        <f>'Проверочная  таблица'!XK18</f>
        <v>15690000</v>
      </c>
      <c r="DG13" s="456">
        <f t="shared" si="4"/>
        <v>13215.3354</v>
      </c>
      <c r="DH13" s="456">
        <f t="shared" si="4"/>
        <v>6192.8967499999999</v>
      </c>
    </row>
    <row r="14" spans="1:112" ht="25.5" customHeight="1" x14ac:dyDescent="0.25">
      <c r="A14" s="70" t="s">
        <v>321</v>
      </c>
      <c r="B14" s="457">
        <f t="shared" si="0"/>
        <v>156835607.01999998</v>
      </c>
      <c r="C14" s="458">
        <f t="shared" si="1"/>
        <v>25333060.549999997</v>
      </c>
      <c r="D14" s="1048">
        <f t="shared" si="5"/>
        <v>93843900</v>
      </c>
      <c r="E14" s="1049">
        <f t="shared" si="6"/>
        <v>0</v>
      </c>
      <c r="F14" s="445">
        <f>'Проверочная  таблица'!BT19+'Проверочная  таблица'!BV19</f>
        <v>0</v>
      </c>
      <c r="G14" s="446">
        <f>'Проверочная  таблица'!BU19+'Проверочная  таблица'!BW19</f>
        <v>0</v>
      </c>
      <c r="H14" s="446">
        <f>'Проверочная  таблица'!CC19</f>
        <v>53236900</v>
      </c>
      <c r="I14" s="447">
        <f>'Проверочная  таблица'!CF19</f>
        <v>0</v>
      </c>
      <c r="J14" s="446">
        <f>'Проверочная  таблица'!CD19</f>
        <v>40607000</v>
      </c>
      <c r="K14" s="447">
        <f>'Проверочная  таблица'!CG19</f>
        <v>0</v>
      </c>
      <c r="L14" s="77">
        <f t="shared" si="2"/>
        <v>62991707.019999996</v>
      </c>
      <c r="M14" s="78">
        <f t="shared" si="3"/>
        <v>25333060.549999997</v>
      </c>
      <c r="N14" s="71">
        <f t="shared" si="7"/>
        <v>35403433.410000004</v>
      </c>
      <c r="O14" s="71">
        <f t="shared" si="8"/>
        <v>4076966.1199999996</v>
      </c>
      <c r="P14" s="78">
        <f>'Проверочная  таблица'!CX19</f>
        <v>0</v>
      </c>
      <c r="Q14" s="78">
        <f>'Проверочная  таблица'!DE19</f>
        <v>0</v>
      </c>
      <c r="R14" s="78">
        <f>'Проверочная  таблица'!CZ19+'Проверочная  таблица'!DL19</f>
        <v>0</v>
      </c>
      <c r="S14" s="73">
        <f>'Проверочная  таблица'!DG19+'Проверочная  таблица'!DO19</f>
        <v>0</v>
      </c>
      <c r="T14" s="77">
        <f>'Проверочная  таблица'!DB19</f>
        <v>0</v>
      </c>
      <c r="U14" s="73">
        <f>'Проверочная  таблица'!DI19</f>
        <v>0</v>
      </c>
      <c r="V14" s="79">
        <f>'Проверочная  таблица'!ED19</f>
        <v>0</v>
      </c>
      <c r="W14" s="78">
        <f>'Проверочная  таблица'!EG19</f>
        <v>0</v>
      </c>
      <c r="X14" s="78">
        <f>'Проверочная  таблица'!EJ19</f>
        <v>0</v>
      </c>
      <c r="Y14" s="73">
        <f>'Проверочная  таблица'!EM19</f>
        <v>0</v>
      </c>
      <c r="Z14" s="73">
        <f>'Проверочная  таблица'!EQ19</f>
        <v>0</v>
      </c>
      <c r="AA14" s="73">
        <f>'Проверочная  таблица'!EU19</f>
        <v>0</v>
      </c>
      <c r="AB14" s="78">
        <f>'Проверочная  таблица'!EX19</f>
        <v>0</v>
      </c>
      <c r="AC14" s="73">
        <f>'Проверочная  таблица'!FA19</f>
        <v>0</v>
      </c>
      <c r="AD14" s="77">
        <f>'Проверочная  таблица'!FD19+'Проверочная  таблица'!FJ19</f>
        <v>0</v>
      </c>
      <c r="AE14" s="78">
        <f>'Проверочная  таблица'!FG19+'Проверочная  таблица'!FM19</f>
        <v>0</v>
      </c>
      <c r="AF14" s="78">
        <f>'Проверочная  таблица'!GB19</f>
        <v>0</v>
      </c>
      <c r="AG14" s="78">
        <f>'Проверочная  таблица'!GE19</f>
        <v>0</v>
      </c>
      <c r="AH14" s="78">
        <f>'Проверочная  таблица'!GH19+'Проверочная  таблица'!GN19</f>
        <v>0</v>
      </c>
      <c r="AI14" s="73">
        <f>'Проверочная  таблица'!GK19+'Проверочная  таблица'!GQ19</f>
        <v>0</v>
      </c>
      <c r="AJ14" s="79">
        <f>'Проверочная  таблица'!GX19</f>
        <v>0</v>
      </c>
      <c r="AK14" s="78">
        <f>'Проверочная  таблица'!HB19</f>
        <v>0</v>
      </c>
      <c r="AL14" s="78">
        <f>'Проверочная  таблица'!HN19</f>
        <v>0</v>
      </c>
      <c r="AM14" s="78">
        <f>'Проверочная  таблица'!HQ19</f>
        <v>0</v>
      </c>
      <c r="AN14" s="78">
        <f>'Проверочная  таблица'!HT19+'Проверочная  таблица'!HZ19</f>
        <v>0</v>
      </c>
      <c r="AO14" s="78">
        <f>'Проверочная  таблица'!HW19+'Проверочная  таблица'!IC19</f>
        <v>0</v>
      </c>
      <c r="AP14" s="78">
        <f>'Проверочная  таблица'!IR19+'Проверочная  таблица'!IX19</f>
        <v>0</v>
      </c>
      <c r="AQ14" s="73">
        <f>'Проверочная  таблица'!IU19+'Проверочная  таблица'!JA19</f>
        <v>0</v>
      </c>
      <c r="AR14" s="77">
        <f>'Проверочная  таблица'!JH19</f>
        <v>0</v>
      </c>
      <c r="AS14" s="73">
        <f>'Проверочная  таблица'!JK19</f>
        <v>0</v>
      </c>
      <c r="AT14" s="77">
        <f>'Проверочная  таблица'!JN19</f>
        <v>0</v>
      </c>
      <c r="AU14" s="73">
        <f>'Проверочная  таблица'!JQ19</f>
        <v>0</v>
      </c>
      <c r="AV14" s="77">
        <f>'Проверочная  таблица'!JT19+'Проверочная  таблица'!JZ19</f>
        <v>0</v>
      </c>
      <c r="AW14" s="78">
        <f>'Проверочная  таблица'!JW19+'Проверочная  таблица'!KC19</f>
        <v>0</v>
      </c>
      <c r="AX14" s="78">
        <f>'Проверочная  таблица'!KR19+'Проверочная  таблица'!LB19</f>
        <v>353490.17</v>
      </c>
      <c r="AY14" s="73">
        <f>'Проверочная  таблица'!LG19+'Проверочная  таблица'!KW19</f>
        <v>0</v>
      </c>
      <c r="AZ14" s="78">
        <f>'Проверочная  таблица'!KT19+'Проверочная  таблица'!LD19</f>
        <v>29130.42</v>
      </c>
      <c r="BA14" s="73">
        <f>'Проверочная  таблица'!LI19+'Проверочная  таблица'!KY19</f>
        <v>0</v>
      </c>
      <c r="BB14" s="77">
        <f>'Проверочная  таблица'!LY19+'Проверочная  таблица'!MG19</f>
        <v>0</v>
      </c>
      <c r="BC14" s="73">
        <f>'Проверочная  таблица'!MK19+'Проверочная  таблица'!MC19</f>
        <v>0</v>
      </c>
      <c r="BD14" s="78">
        <f>'Проверочная  таблица'!NF19</f>
        <v>4757600</v>
      </c>
      <c r="BE14" s="73">
        <f>'Проверочная  таблица'!NN19</f>
        <v>484797.61</v>
      </c>
      <c r="BF14" s="78">
        <f>'Проверочная  таблица'!ND19</f>
        <v>0</v>
      </c>
      <c r="BG14" s="73">
        <f>'Проверочная  таблица'!NL19</f>
        <v>0</v>
      </c>
      <c r="BH14" s="77">
        <f>'Проверочная  таблица'!NI19+'Проверочная  таблица'!NT19</f>
        <v>186550.13</v>
      </c>
      <c r="BI14" s="78">
        <f>'Проверочная  таблица'!NW19+'Проверочная  таблица'!NQ19</f>
        <v>186550.13</v>
      </c>
      <c r="BJ14" s="73">
        <f>'Проверочная  таблица'!OL19</f>
        <v>0</v>
      </c>
      <c r="BK14" s="73">
        <f>'Проверочная  таблица'!OP19</f>
        <v>0</v>
      </c>
      <c r="BL14" s="77">
        <f>'Проверочная  таблица'!OT19+'Проверочная  таблица'!PB19</f>
        <v>17630865.18</v>
      </c>
      <c r="BM14" s="78">
        <f>'Проверочная  таблица'!OX19+'Проверочная  таблица'!PF19</f>
        <v>0</v>
      </c>
      <c r="BN14" s="78">
        <f>'Проверочная  таблица'!QJ19+'Проверочная  таблица'!PZ19</f>
        <v>0</v>
      </c>
      <c r="BO14" s="73">
        <f>'Проверочная  таблица'!QM19+'Проверочная  таблица'!QE19</f>
        <v>0</v>
      </c>
      <c r="BP14" s="78"/>
      <c r="BQ14" s="73"/>
      <c r="BR14" s="77">
        <f>'Проверочная  таблица'!RB19</f>
        <v>0</v>
      </c>
      <c r="BS14" s="73">
        <f>'Проверочная  таблица'!RE19</f>
        <v>0</v>
      </c>
      <c r="BT14" s="77">
        <f>'Проверочная  таблица'!RH19+'Проверочная  таблица'!RN19</f>
        <v>0</v>
      </c>
      <c r="BU14" s="73">
        <f>'Проверочная  таблица'!RK19+'Проверочная  таблица'!RQ19</f>
        <v>0</v>
      </c>
      <c r="BV14" s="77">
        <f>'Проверочная  таблица'!SF19</f>
        <v>0</v>
      </c>
      <c r="BW14" s="78">
        <f>'Проверочная  таблица'!SI19</f>
        <v>0</v>
      </c>
      <c r="BX14" s="78">
        <f>'Проверочная  таблица'!SM19</f>
        <v>0</v>
      </c>
      <c r="BY14" s="73">
        <f>'Проверочная  таблица'!SQ19</f>
        <v>0</v>
      </c>
      <c r="BZ14" s="77">
        <f>'Проверочная  таблица'!ST19</f>
        <v>0</v>
      </c>
      <c r="CA14" s="78">
        <f>'Проверочная  таблица'!SW19</f>
        <v>0</v>
      </c>
      <c r="CB14" s="78">
        <f>'Проверочная  таблица'!TN19+'Проверочная  таблица'!SZ19</f>
        <v>12445797.51</v>
      </c>
      <c r="CC14" s="73">
        <f>'Проверочная  таблица'!TU19+'Проверочная  таблица'!TG19</f>
        <v>3405618.38</v>
      </c>
      <c r="CD14" s="77">
        <f>'Проверочная  таблица'!TB19+'Проверочная  таблица'!TP19</f>
        <v>0</v>
      </c>
      <c r="CE14" s="78">
        <f>'Проверочная  таблица'!TW19+'Проверочная  таблица'!TI19</f>
        <v>0</v>
      </c>
      <c r="CF14" s="78">
        <f>'Проверочная  таблица'!TR19+'Проверочная  таблица'!TD19</f>
        <v>0</v>
      </c>
      <c r="CG14" s="73">
        <f>'Проверочная  таблица'!TY19+'Проверочная  таблица'!TK19</f>
        <v>0</v>
      </c>
      <c r="CH14" s="78">
        <f t="shared" si="9"/>
        <v>12255951.699999999</v>
      </c>
      <c r="CI14" s="78">
        <f t="shared" si="9"/>
        <v>6489227.2400000002</v>
      </c>
      <c r="CJ14" s="73">
        <f>'Проверочная  таблица'!VV19+'Проверочная  таблица'!VT19</f>
        <v>2944300</v>
      </c>
      <c r="CK14" s="73">
        <f>'Проверочная  таблица'!VW19+'Проверочная  таблица'!VU19</f>
        <v>1172781.24</v>
      </c>
      <c r="CL14" s="79">
        <f>'Проверочная  таблица'!VX19</f>
        <v>0</v>
      </c>
      <c r="CM14" s="79">
        <f>'Проверочная  таблица'!VY19</f>
        <v>0</v>
      </c>
      <c r="CN14" s="461">
        <f>'Проверочная  таблица'!VZ19</f>
        <v>0</v>
      </c>
      <c r="CO14" s="462">
        <f>'Проверочная  таблица'!WA19</f>
        <v>0</v>
      </c>
      <c r="CP14" s="463">
        <f>'Проверочная  таблица'!WB19</f>
        <v>0</v>
      </c>
      <c r="CQ14" s="462">
        <f>'Проверочная  таблица'!WC19</f>
        <v>0</v>
      </c>
      <c r="CR14" s="463">
        <f>'Проверочная  таблица'!WD19</f>
        <v>0</v>
      </c>
      <c r="CS14" s="461">
        <f>'Проверочная  таблица'!WE19</f>
        <v>0</v>
      </c>
      <c r="CT14" s="78">
        <f>'Проверочная  таблица'!WH19</f>
        <v>8516651.6999999993</v>
      </c>
      <c r="CU14" s="78">
        <f>'Проверочная  таблица'!WK19</f>
        <v>4883446</v>
      </c>
      <c r="CV14" s="78">
        <f>'Проверочная  таблица'!WN19</f>
        <v>795000</v>
      </c>
      <c r="CW14" s="78">
        <f>'Проверочная  таблица'!WQ19</f>
        <v>433000</v>
      </c>
      <c r="CX14" s="78">
        <f t="shared" si="10"/>
        <v>15332321.91</v>
      </c>
      <c r="CY14" s="73">
        <f t="shared" si="10"/>
        <v>14766867.189999999</v>
      </c>
      <c r="CZ14" s="77">
        <f>'Проверочная  таблица'!WV19</f>
        <v>0</v>
      </c>
      <c r="DA14" s="73">
        <f>'Проверочная  таблица'!WY19</f>
        <v>0</v>
      </c>
      <c r="DB14" s="77">
        <f>'Проверочная  таблица'!XB19</f>
        <v>1280690.9099999999</v>
      </c>
      <c r="DC14" s="73">
        <f>'Проверочная  таблица'!XE19</f>
        <v>853793.92</v>
      </c>
      <c r="DD14" s="77">
        <f>'Проверочная  таблица'!XH19</f>
        <v>14051631</v>
      </c>
      <c r="DE14" s="73">
        <f>'Проверочная  таблица'!XK19</f>
        <v>13913073.27</v>
      </c>
      <c r="DG14" s="456">
        <f t="shared" si="4"/>
        <v>9311.6516999999985</v>
      </c>
      <c r="DH14" s="456">
        <f t="shared" si="4"/>
        <v>5316.4459999999999</v>
      </c>
    </row>
    <row r="15" spans="1:112" ht="25.5" customHeight="1" x14ac:dyDescent="0.25">
      <c r="A15" s="464" t="s">
        <v>322</v>
      </c>
      <c r="B15" s="465">
        <f t="shared" si="0"/>
        <v>1025718676.1300001</v>
      </c>
      <c r="C15" s="466">
        <f t="shared" si="1"/>
        <v>347988179.80999994</v>
      </c>
      <c r="D15" s="1048">
        <f t="shared" si="5"/>
        <v>104308088.5</v>
      </c>
      <c r="E15" s="1049">
        <f t="shared" si="6"/>
        <v>0</v>
      </c>
      <c r="F15" s="445">
        <f>'Проверочная  таблица'!BT14+'Проверочная  таблица'!BV14</f>
        <v>0</v>
      </c>
      <c r="G15" s="446">
        <f>'Проверочная  таблица'!BU14+'Проверочная  таблица'!BW14</f>
        <v>0</v>
      </c>
      <c r="H15" s="446">
        <f>'Проверочная  таблица'!CC14</f>
        <v>51003088.5</v>
      </c>
      <c r="I15" s="447">
        <f>'Проверочная  таблица'!CF14</f>
        <v>0</v>
      </c>
      <c r="J15" s="446">
        <f>'Проверочная  таблица'!CD14</f>
        <v>53305000</v>
      </c>
      <c r="K15" s="447">
        <f>'Проверочная  таблица'!CG14</f>
        <v>0</v>
      </c>
      <c r="L15" s="77">
        <f t="shared" si="2"/>
        <v>921410587.63000011</v>
      </c>
      <c r="M15" s="78">
        <f t="shared" si="3"/>
        <v>347988179.80999994</v>
      </c>
      <c r="N15" s="71">
        <f t="shared" si="7"/>
        <v>891000933.9000001</v>
      </c>
      <c r="O15" s="71">
        <f t="shared" si="8"/>
        <v>323245804.25999999</v>
      </c>
      <c r="P15" s="78">
        <f>'Проверочная  таблица'!CX14</f>
        <v>0</v>
      </c>
      <c r="Q15" s="78">
        <f>'Проверочная  таблица'!DE14</f>
        <v>0</v>
      </c>
      <c r="R15" s="78">
        <f>'Проверочная  таблица'!CZ14+'Проверочная  таблица'!DL14</f>
        <v>0</v>
      </c>
      <c r="S15" s="73">
        <f>'Проверочная  таблица'!DG14+'Проверочная  таблица'!DO14</f>
        <v>0</v>
      </c>
      <c r="T15" s="77">
        <f>'Проверочная  таблица'!DB14</f>
        <v>0</v>
      </c>
      <c r="U15" s="73">
        <f>'Проверочная  таблица'!DI14</f>
        <v>0</v>
      </c>
      <c r="V15" s="79">
        <f>'Проверочная  таблица'!ED14</f>
        <v>0</v>
      </c>
      <c r="W15" s="78">
        <f>'Проверочная  таблица'!EG14</f>
        <v>0</v>
      </c>
      <c r="X15" s="78">
        <f>'Проверочная  таблица'!EJ14</f>
        <v>0</v>
      </c>
      <c r="Y15" s="73">
        <f>'Проверочная  таблица'!EM14</f>
        <v>0</v>
      </c>
      <c r="Z15" s="73">
        <f>'Проверочная  таблица'!EQ14</f>
        <v>0</v>
      </c>
      <c r="AA15" s="73">
        <f>'Проверочная  таблица'!EU14</f>
        <v>0</v>
      </c>
      <c r="AB15" s="78">
        <f>'Проверочная  таблица'!EX14</f>
        <v>0</v>
      </c>
      <c r="AC15" s="73">
        <f>'Проверочная  таблица'!FA14</f>
        <v>0</v>
      </c>
      <c r="AD15" s="77">
        <f>'Проверочная  таблица'!FD14+'Проверочная  таблица'!FJ14</f>
        <v>0</v>
      </c>
      <c r="AE15" s="78">
        <f>'Проверочная  таблица'!FG14+'Проверочная  таблица'!FM14</f>
        <v>0</v>
      </c>
      <c r="AF15" s="78">
        <f>'Проверочная  таблица'!GB14</f>
        <v>0</v>
      </c>
      <c r="AG15" s="78">
        <f>'Проверочная  таблица'!GE14</f>
        <v>0</v>
      </c>
      <c r="AH15" s="78">
        <f>'Проверочная  таблица'!GH14+'Проверочная  таблица'!GN14</f>
        <v>157087380.22999999</v>
      </c>
      <c r="AI15" s="73">
        <f>'Проверочная  таблица'!GK14+'Проверочная  таблица'!GQ14</f>
        <v>50526359.969999999</v>
      </c>
      <c r="AJ15" s="79">
        <f>'Проверочная  таблица'!GX14</f>
        <v>0</v>
      </c>
      <c r="AK15" s="78">
        <f>'Проверочная  таблица'!HB14</f>
        <v>0</v>
      </c>
      <c r="AL15" s="78">
        <f>'Проверочная  таблица'!HN14</f>
        <v>0</v>
      </c>
      <c r="AM15" s="78">
        <f>'Проверочная  таблица'!HQ14</f>
        <v>0</v>
      </c>
      <c r="AN15" s="78">
        <f>'Проверочная  таблица'!HT14+'Проверочная  таблица'!HZ14</f>
        <v>0</v>
      </c>
      <c r="AO15" s="78">
        <f>'Проверочная  таблица'!HW14+'Проверочная  таблица'!IC14</f>
        <v>0</v>
      </c>
      <c r="AP15" s="78">
        <f>'Проверочная  таблица'!IR14+'Проверочная  таблица'!IX14</f>
        <v>0</v>
      </c>
      <c r="AQ15" s="73">
        <f>'Проверочная  таблица'!IU14+'Проверочная  таблица'!JA14</f>
        <v>0</v>
      </c>
      <c r="AR15" s="77">
        <f>'Проверочная  таблица'!JH14</f>
        <v>0</v>
      </c>
      <c r="AS15" s="73">
        <f>'Проверочная  таблица'!JK14</f>
        <v>0</v>
      </c>
      <c r="AT15" s="77">
        <f>'Проверочная  таблица'!JN14</f>
        <v>0</v>
      </c>
      <c r="AU15" s="73">
        <f>'Проверочная  таблица'!JQ14</f>
        <v>0</v>
      </c>
      <c r="AV15" s="77">
        <f>'Проверочная  таблица'!JT14+'Проверочная  таблица'!JZ14</f>
        <v>0</v>
      </c>
      <c r="AW15" s="78">
        <f>'Проверочная  таблица'!JW14+'Проверочная  таблица'!KC14</f>
        <v>0</v>
      </c>
      <c r="AX15" s="78">
        <f>'Проверочная  таблица'!KR14+'Проверочная  таблица'!LB14</f>
        <v>227717.34</v>
      </c>
      <c r="AY15" s="73">
        <f>'Проверочная  таблица'!LG14+'Проверочная  таблица'!KW14</f>
        <v>0</v>
      </c>
      <c r="AZ15" s="78">
        <f>'Проверочная  таблица'!KT14+'Проверочная  таблица'!LD14</f>
        <v>203066.48</v>
      </c>
      <c r="BA15" s="73">
        <f>'Проверочная  таблица'!LI14+'Проверочная  таблица'!KY14</f>
        <v>0</v>
      </c>
      <c r="BB15" s="77">
        <f>'Проверочная  таблица'!LY14+'Проверочная  таблица'!MG14</f>
        <v>0</v>
      </c>
      <c r="BC15" s="73">
        <f>'Проверочная  таблица'!MK14+'Проверочная  таблица'!MC14</f>
        <v>0</v>
      </c>
      <c r="BD15" s="78">
        <f>'Проверочная  таблица'!NF14</f>
        <v>0</v>
      </c>
      <c r="BE15" s="73">
        <f>'Проверочная  таблица'!NN14</f>
        <v>0</v>
      </c>
      <c r="BF15" s="78">
        <f>'Проверочная  таблица'!ND14</f>
        <v>0</v>
      </c>
      <c r="BG15" s="73">
        <f>'Проверочная  таблица'!NL14</f>
        <v>0</v>
      </c>
      <c r="BH15" s="77">
        <f>'Проверочная  таблица'!NI14+'Проверочная  таблица'!NT14</f>
        <v>235043.77</v>
      </c>
      <c r="BI15" s="78">
        <f>'Проверочная  таблица'!NW14+'Проверочная  таблица'!NQ14</f>
        <v>235043.77</v>
      </c>
      <c r="BJ15" s="73">
        <f>'Проверочная  таблица'!OL14</f>
        <v>0</v>
      </c>
      <c r="BK15" s="73">
        <f>'Проверочная  таблица'!OP14</f>
        <v>0</v>
      </c>
      <c r="BL15" s="77">
        <f>'Проверочная  таблица'!OT14+'Проверочная  таблица'!PB14</f>
        <v>0</v>
      </c>
      <c r="BM15" s="78">
        <f>'Проверочная  таблица'!OX14+'Проверочная  таблица'!PF14</f>
        <v>0</v>
      </c>
      <c r="BN15" s="78">
        <f>'Проверочная  таблица'!QJ14+'Проверочная  таблица'!PZ14</f>
        <v>2889951.19</v>
      </c>
      <c r="BO15" s="73">
        <f>'Проверочная  таблица'!QM14+'Проверочная  таблица'!QE14</f>
        <v>0</v>
      </c>
      <c r="BP15" s="78">
        <f>'Проверочная  таблица'!QB14</f>
        <v>160369500</v>
      </c>
      <c r="BQ15" s="73">
        <f>'Проверочная  таблица'!QG14</f>
        <v>37926291.490000002</v>
      </c>
      <c r="BR15" s="77">
        <f>'Проверочная  таблица'!RB14</f>
        <v>0</v>
      </c>
      <c r="BS15" s="73">
        <f>'Проверочная  таблица'!RE14</f>
        <v>0</v>
      </c>
      <c r="BT15" s="77">
        <f>'Проверочная  таблица'!RH14+'Проверочная  таблица'!RN14</f>
        <v>0</v>
      </c>
      <c r="BU15" s="73">
        <f>'Проверочная  таблица'!RK14+'Проверочная  таблица'!RQ14</f>
        <v>0</v>
      </c>
      <c r="BV15" s="77">
        <f>'Проверочная  таблица'!SF14</f>
        <v>0</v>
      </c>
      <c r="BW15" s="78">
        <f>'Проверочная  таблица'!SI14</f>
        <v>0</v>
      </c>
      <c r="BX15" s="78">
        <f>'Проверочная  таблица'!SM14</f>
        <v>0</v>
      </c>
      <c r="BY15" s="73">
        <f>'Проверочная  таблица'!SQ14</f>
        <v>0</v>
      </c>
      <c r="BZ15" s="77">
        <f>'Проверочная  таблица'!ST14</f>
        <v>0</v>
      </c>
      <c r="CA15" s="78">
        <f>'Проверочная  таблица'!SW14</f>
        <v>0</v>
      </c>
      <c r="CB15" s="78">
        <f>'Проверочная  таблица'!TN14+'Проверочная  таблица'!SZ14</f>
        <v>110880741.45</v>
      </c>
      <c r="CC15" s="73">
        <f>'Проверочная  таблица'!TU14+'Проверочная  таблица'!TG14</f>
        <v>8588685.3199999966</v>
      </c>
      <c r="CD15" s="77">
        <f>'Проверочная  таблица'!TB14+'Проверочная  таблица'!TP14</f>
        <v>3243333.44</v>
      </c>
      <c r="CE15" s="78">
        <f>'Проверочная  таблица'!TW14+'Проверочная  таблица'!TI14</f>
        <v>0</v>
      </c>
      <c r="CF15" s="78">
        <f>'Проверочная  таблица'!TR14+'Проверочная  таблица'!TD14</f>
        <v>455864200</v>
      </c>
      <c r="CG15" s="73">
        <f>'Проверочная  таблица'!TY14+'Проверочная  таблица'!TK14</f>
        <v>225969423.70999998</v>
      </c>
      <c r="CH15" s="78">
        <f t="shared" si="9"/>
        <v>11554646.370000001</v>
      </c>
      <c r="CI15" s="78">
        <f t="shared" si="9"/>
        <v>6997750.3300000001</v>
      </c>
      <c r="CJ15" s="73">
        <f>'Проверочная  таблица'!VV14+'Проверочная  таблица'!VT14</f>
        <v>2743300</v>
      </c>
      <c r="CK15" s="73">
        <f>'Проверочная  таблица'!VW14+'Проверочная  таблица'!VU14</f>
        <v>340854.24</v>
      </c>
      <c r="CL15" s="79">
        <f>'Проверочная  таблица'!VX14</f>
        <v>0</v>
      </c>
      <c r="CM15" s="79">
        <f>'Проверочная  таблица'!VY14</f>
        <v>0</v>
      </c>
      <c r="CN15" s="461">
        <f>'Проверочная  таблица'!VZ14</f>
        <v>0</v>
      </c>
      <c r="CO15" s="462">
        <f>'Проверочная  таблица'!WA14</f>
        <v>0</v>
      </c>
      <c r="CP15" s="463">
        <f>'Проверочная  таблица'!WB14</f>
        <v>0</v>
      </c>
      <c r="CQ15" s="462">
        <f>'Проверочная  таблица'!WC14</f>
        <v>0</v>
      </c>
      <c r="CR15" s="463">
        <f>'Проверочная  таблица'!WD14</f>
        <v>0</v>
      </c>
      <c r="CS15" s="461">
        <f>'Проверочная  таблица'!WE14</f>
        <v>0</v>
      </c>
      <c r="CT15" s="78">
        <f>'Проверочная  таблица'!WH14</f>
        <v>8056346.3700000001</v>
      </c>
      <c r="CU15" s="78">
        <f>'Проверочная  таблица'!WK14</f>
        <v>6276005.04</v>
      </c>
      <c r="CV15" s="78">
        <f>'Проверочная  таблица'!WN14</f>
        <v>755000</v>
      </c>
      <c r="CW15" s="78">
        <f>'Проверочная  таблица'!WQ14</f>
        <v>380891.05</v>
      </c>
      <c r="CX15" s="78">
        <f t="shared" si="10"/>
        <v>18855007.359999999</v>
      </c>
      <c r="CY15" s="73">
        <f t="shared" si="10"/>
        <v>17744625.219999999</v>
      </c>
      <c r="CZ15" s="77">
        <f>'Проверочная  таблица'!WV14</f>
        <v>0</v>
      </c>
      <c r="DA15" s="73">
        <f>'Проверочная  таблица'!WY14</f>
        <v>0</v>
      </c>
      <c r="DB15" s="77">
        <f>'Проверочная  таблица'!XB14</f>
        <v>3329796.36</v>
      </c>
      <c r="DC15" s="73">
        <f>'Проверочная  таблица'!XE14</f>
        <v>2219864.2200000002</v>
      </c>
      <c r="DD15" s="77">
        <f>'Проверочная  таблица'!XH14</f>
        <v>15525211</v>
      </c>
      <c r="DE15" s="73">
        <f>'Проверочная  таблица'!XK14</f>
        <v>15524761</v>
      </c>
      <c r="DG15" s="456">
        <f t="shared" si="4"/>
        <v>8811.3463700000011</v>
      </c>
      <c r="DH15" s="456">
        <f t="shared" si="4"/>
        <v>6656.8960900000002</v>
      </c>
    </row>
    <row r="16" spans="1:112" ht="25.5" customHeight="1" x14ac:dyDescent="0.25">
      <c r="A16" s="70" t="s">
        <v>323</v>
      </c>
      <c r="B16" s="457">
        <f t="shared" si="0"/>
        <v>78783460.780000001</v>
      </c>
      <c r="C16" s="458">
        <f t="shared" si="1"/>
        <v>16139866.42</v>
      </c>
      <c r="D16" s="1048">
        <f t="shared" si="5"/>
        <v>46638015.740000002</v>
      </c>
      <c r="E16" s="1049">
        <f t="shared" si="6"/>
        <v>0</v>
      </c>
      <c r="F16" s="445">
        <f>'Проверочная  таблица'!BT20+'Проверочная  таблица'!BV20</f>
        <v>0</v>
      </c>
      <c r="G16" s="446">
        <f>'Проверочная  таблица'!BU20+'Проверочная  таблица'!BW20</f>
        <v>0</v>
      </c>
      <c r="H16" s="446">
        <f>'Проверочная  таблица'!CC20</f>
        <v>46638015.740000002</v>
      </c>
      <c r="I16" s="447">
        <f>'Проверочная  таблица'!CF20</f>
        <v>0</v>
      </c>
      <c r="J16" s="446">
        <f>'Проверочная  таблица'!CD20</f>
        <v>0</v>
      </c>
      <c r="K16" s="447">
        <f>'Проверочная  таблица'!CG20</f>
        <v>0</v>
      </c>
      <c r="L16" s="77">
        <f t="shared" si="2"/>
        <v>32145445.039999999</v>
      </c>
      <c r="M16" s="78">
        <f t="shared" si="3"/>
        <v>16139866.42</v>
      </c>
      <c r="N16" s="71">
        <f t="shared" si="7"/>
        <v>12193623.35</v>
      </c>
      <c r="O16" s="71">
        <f t="shared" si="8"/>
        <v>374388.32</v>
      </c>
      <c r="P16" s="78">
        <f>'Проверочная  таблица'!CX20</f>
        <v>0</v>
      </c>
      <c r="Q16" s="78">
        <f>'Проверочная  таблица'!DE20</f>
        <v>0</v>
      </c>
      <c r="R16" s="78">
        <f>'Проверочная  таблица'!CZ20+'Проверочная  таблица'!DL20</f>
        <v>0</v>
      </c>
      <c r="S16" s="73">
        <f>'Проверочная  таблица'!DG20+'Проверочная  таблица'!DO20</f>
        <v>0</v>
      </c>
      <c r="T16" s="77">
        <f>'Проверочная  таблица'!DB20</f>
        <v>0</v>
      </c>
      <c r="U16" s="73">
        <f>'Проверочная  таблица'!DI20</f>
        <v>0</v>
      </c>
      <c r="V16" s="79">
        <f>'Проверочная  таблица'!ED20</f>
        <v>0</v>
      </c>
      <c r="W16" s="78">
        <f>'Проверочная  таблица'!EG20</f>
        <v>0</v>
      </c>
      <c r="X16" s="78">
        <f>'Проверочная  таблица'!EJ20</f>
        <v>0</v>
      </c>
      <c r="Y16" s="73">
        <f>'Проверочная  таблица'!EM20</f>
        <v>0</v>
      </c>
      <c r="Z16" s="73">
        <f>'Проверочная  таблица'!EQ20</f>
        <v>0</v>
      </c>
      <c r="AA16" s="73">
        <f>'Проверочная  таблица'!EU20</f>
        <v>0</v>
      </c>
      <c r="AB16" s="78">
        <f>'Проверочная  таблица'!EX20</f>
        <v>0</v>
      </c>
      <c r="AC16" s="73">
        <f>'Проверочная  таблица'!FA20</f>
        <v>0</v>
      </c>
      <c r="AD16" s="77">
        <f>'Проверочная  таблица'!FD20+'Проверочная  таблица'!FJ20</f>
        <v>312911.32</v>
      </c>
      <c r="AE16" s="78">
        <f>'Проверочная  таблица'!FG20+'Проверочная  таблица'!FM20</f>
        <v>312911.32</v>
      </c>
      <c r="AF16" s="78">
        <f>'Проверочная  таблица'!GB20</f>
        <v>0</v>
      </c>
      <c r="AG16" s="78">
        <f>'Проверочная  таблица'!GE20</f>
        <v>0</v>
      </c>
      <c r="AH16" s="78">
        <f>'Проверочная  таблица'!GH20+'Проверочная  таблица'!GN20</f>
        <v>0</v>
      </c>
      <c r="AI16" s="73">
        <f>'Проверочная  таблица'!GK20+'Проверочная  таблица'!GQ20</f>
        <v>0</v>
      </c>
      <c r="AJ16" s="79">
        <f>'Проверочная  таблица'!GX20</f>
        <v>0</v>
      </c>
      <c r="AK16" s="78">
        <f>'Проверочная  таблица'!HB20</f>
        <v>0</v>
      </c>
      <c r="AL16" s="78">
        <f>'Проверочная  таблица'!HN20</f>
        <v>0</v>
      </c>
      <c r="AM16" s="78">
        <f>'Проверочная  таблица'!HQ20</f>
        <v>0</v>
      </c>
      <c r="AN16" s="78">
        <f>'Проверочная  таблица'!HT20+'Проверочная  таблица'!HZ20</f>
        <v>0</v>
      </c>
      <c r="AO16" s="78">
        <f>'Проверочная  таблица'!HW20+'Проверочная  таблица'!IC20</f>
        <v>0</v>
      </c>
      <c r="AP16" s="78">
        <f>'Проверочная  таблица'!IR20+'Проверочная  таблица'!IX20</f>
        <v>0</v>
      </c>
      <c r="AQ16" s="73">
        <f>'Проверочная  таблица'!IU20+'Проверочная  таблица'!JA20</f>
        <v>0</v>
      </c>
      <c r="AR16" s="77">
        <f>'Проверочная  таблица'!JH20</f>
        <v>0</v>
      </c>
      <c r="AS16" s="73">
        <f>'Проверочная  таблица'!JK20</f>
        <v>0</v>
      </c>
      <c r="AT16" s="77">
        <f>'Проверочная  таблица'!JN20</f>
        <v>0</v>
      </c>
      <c r="AU16" s="73">
        <f>'Проверочная  таблица'!JQ20</f>
        <v>0</v>
      </c>
      <c r="AV16" s="77">
        <f>'Проверочная  таблица'!JT20+'Проверочная  таблица'!JZ20</f>
        <v>0</v>
      </c>
      <c r="AW16" s="78">
        <f>'Проверочная  таблица'!JW20+'Проверочная  таблица'!KC20</f>
        <v>0</v>
      </c>
      <c r="AX16" s="78">
        <f>'Проверочная  таблица'!KR20+'Проверочная  таблица'!LB20</f>
        <v>256948.80000000002</v>
      </c>
      <c r="AY16" s="73">
        <f>'Проверочная  таблица'!LG20+'Проверочная  таблица'!KW20</f>
        <v>0</v>
      </c>
      <c r="AZ16" s="78">
        <f>'Проверочная  таблица'!KT20+'Проверочная  таблица'!LD20</f>
        <v>66121.03</v>
      </c>
      <c r="BA16" s="73">
        <f>'Проверочная  таблица'!LI20+'Проверочная  таблица'!KY20</f>
        <v>0</v>
      </c>
      <c r="BB16" s="77">
        <f>'Проверочная  таблица'!LY20+'Проверочная  таблица'!MG20</f>
        <v>0</v>
      </c>
      <c r="BC16" s="73">
        <f>'Проверочная  таблица'!MK20+'Проверочная  таблица'!MC20</f>
        <v>0</v>
      </c>
      <c r="BD16" s="78">
        <f>'Проверочная  таблица'!NF20</f>
        <v>0</v>
      </c>
      <c r="BE16" s="73">
        <f>'Проверочная  таблица'!NN20</f>
        <v>0</v>
      </c>
      <c r="BF16" s="78">
        <f>'Проверочная  таблица'!ND20</f>
        <v>0</v>
      </c>
      <c r="BG16" s="73">
        <f>'Проверочная  таблица'!NL20</f>
        <v>0</v>
      </c>
      <c r="BH16" s="77">
        <f>'Проверочная  таблица'!NI20+'Проверочная  таблица'!NT20</f>
        <v>61477</v>
      </c>
      <c r="BI16" s="78">
        <f>'Проверочная  таблица'!NW20+'Проверочная  таблица'!NQ20</f>
        <v>61477</v>
      </c>
      <c r="BJ16" s="73">
        <f>'Проверочная  таблица'!OL20</f>
        <v>0</v>
      </c>
      <c r="BK16" s="73">
        <f>'Проверочная  таблица'!OP20</f>
        <v>0</v>
      </c>
      <c r="BL16" s="77">
        <f>'Проверочная  таблица'!OT20+'Проверочная  таблица'!PB20</f>
        <v>9893329.0199999996</v>
      </c>
      <c r="BM16" s="78">
        <f>'Проверочная  таблица'!OX20+'Проверочная  таблица'!PF20</f>
        <v>0</v>
      </c>
      <c r="BN16" s="78">
        <f>'Проверочная  таблица'!QJ20+'Проверочная  таблица'!PZ20</f>
        <v>1602836.18</v>
      </c>
      <c r="BO16" s="73">
        <f>'Проверочная  таблица'!QM20+'Проверочная  таблица'!QE20</f>
        <v>0</v>
      </c>
      <c r="BP16" s="78"/>
      <c r="BQ16" s="73"/>
      <c r="BR16" s="77">
        <f>'Проверочная  таблица'!RB20</f>
        <v>0</v>
      </c>
      <c r="BS16" s="73">
        <f>'Проверочная  таблица'!RE20</f>
        <v>0</v>
      </c>
      <c r="BT16" s="77">
        <f>'Проверочная  таблица'!RH20+'Проверочная  таблица'!RN20</f>
        <v>0</v>
      </c>
      <c r="BU16" s="73">
        <f>'Проверочная  таблица'!RK20+'Проверочная  таблица'!RQ20</f>
        <v>0</v>
      </c>
      <c r="BV16" s="77">
        <f>'Проверочная  таблица'!SF20</f>
        <v>0</v>
      </c>
      <c r="BW16" s="78">
        <f>'Проверочная  таблица'!SI20</f>
        <v>0</v>
      </c>
      <c r="BX16" s="78">
        <f>'Проверочная  таблица'!SM20</f>
        <v>0</v>
      </c>
      <c r="BY16" s="73">
        <f>'Проверочная  таблица'!SQ20</f>
        <v>0</v>
      </c>
      <c r="BZ16" s="77">
        <f>'Проверочная  таблица'!ST20</f>
        <v>0</v>
      </c>
      <c r="CA16" s="78">
        <f>'Проверочная  таблица'!SW20</f>
        <v>0</v>
      </c>
      <c r="CB16" s="78">
        <f>'Проверочная  таблица'!TN20+'Проверочная  таблица'!SZ20</f>
        <v>0</v>
      </c>
      <c r="CC16" s="73">
        <f>'Проверочная  таблица'!TU20+'Проверочная  таблица'!TG20</f>
        <v>0</v>
      </c>
      <c r="CD16" s="77">
        <f>'Проверочная  таблица'!TB20+'Проверочная  таблица'!TP20</f>
        <v>0</v>
      </c>
      <c r="CE16" s="78">
        <f>'Проверочная  таблица'!TW20+'Проверочная  таблица'!TI20</f>
        <v>0</v>
      </c>
      <c r="CF16" s="78">
        <f>'Проверочная  таблица'!TR20+'Проверочная  таблица'!TD20</f>
        <v>0</v>
      </c>
      <c r="CG16" s="73">
        <f>'Проверочная  таблица'!TY20+'Проверочная  таблица'!TK20</f>
        <v>0</v>
      </c>
      <c r="CH16" s="78">
        <f t="shared" si="9"/>
        <v>7034646.4199999999</v>
      </c>
      <c r="CI16" s="78">
        <f t="shared" si="9"/>
        <v>4023966.09</v>
      </c>
      <c r="CJ16" s="73">
        <f>'Проверочная  таблица'!VV20+'Проверочная  таблица'!VT20</f>
        <v>1769300</v>
      </c>
      <c r="CK16" s="73">
        <f>'Проверочная  таблица'!VW20+'Проверочная  таблица'!VU20</f>
        <v>724825.59999999986</v>
      </c>
      <c r="CL16" s="79">
        <f>'Проверочная  таблица'!VX20</f>
        <v>0</v>
      </c>
      <c r="CM16" s="79">
        <f>'Проверочная  таблица'!VY20</f>
        <v>0</v>
      </c>
      <c r="CN16" s="461">
        <f>'Проверочная  таблица'!VZ20</f>
        <v>0</v>
      </c>
      <c r="CO16" s="462">
        <f>'Проверочная  таблица'!WA20</f>
        <v>0</v>
      </c>
      <c r="CP16" s="463">
        <f>'Проверочная  таблица'!WB20</f>
        <v>0</v>
      </c>
      <c r="CQ16" s="462">
        <f>'Проверочная  таблица'!WC20</f>
        <v>0</v>
      </c>
      <c r="CR16" s="463">
        <f>'Проверочная  таблица'!WD20</f>
        <v>0</v>
      </c>
      <c r="CS16" s="461">
        <f>'Проверочная  таблица'!WE20</f>
        <v>0</v>
      </c>
      <c r="CT16" s="78">
        <f>'Проверочная  таблица'!WH20</f>
        <v>4580346.42</v>
      </c>
      <c r="CU16" s="78">
        <f>'Проверочная  таблица'!WK20</f>
        <v>2945000.01</v>
      </c>
      <c r="CV16" s="78">
        <f>'Проверочная  таблица'!WN20</f>
        <v>685000</v>
      </c>
      <c r="CW16" s="78">
        <f>'Проверочная  таблица'!WQ20</f>
        <v>354140.48</v>
      </c>
      <c r="CX16" s="78">
        <f t="shared" si="10"/>
        <v>12917175.27</v>
      </c>
      <c r="CY16" s="73">
        <f t="shared" si="10"/>
        <v>11741512.01</v>
      </c>
      <c r="CZ16" s="77">
        <f>'Проверочная  таблица'!WV20</f>
        <v>0</v>
      </c>
      <c r="DA16" s="73">
        <f>'Проверочная  таблица'!WY20</f>
        <v>0</v>
      </c>
      <c r="DB16" s="77">
        <f>'Проверочная  таблица'!XB20</f>
        <v>1792967.27</v>
      </c>
      <c r="DC16" s="73">
        <f>'Проверочная  таблица'!XE20</f>
        <v>1195312.01</v>
      </c>
      <c r="DD16" s="77">
        <f>'Проверочная  таблица'!XH20</f>
        <v>11124208</v>
      </c>
      <c r="DE16" s="73">
        <f>'Проверочная  таблица'!XK20</f>
        <v>10546200</v>
      </c>
      <c r="DG16" s="456">
        <f t="shared" si="4"/>
        <v>5265.3464199999999</v>
      </c>
      <c r="DH16" s="456">
        <f t="shared" si="4"/>
        <v>3299.1404900000002</v>
      </c>
    </row>
    <row r="17" spans="1:112" ht="25.5" customHeight="1" x14ac:dyDescent="0.25">
      <c r="A17" s="54" t="s">
        <v>324</v>
      </c>
      <c r="B17" s="457">
        <f t="shared" si="0"/>
        <v>47948015.480000004</v>
      </c>
      <c r="C17" s="458">
        <f t="shared" si="1"/>
        <v>20465680.420000002</v>
      </c>
      <c r="D17" s="1048">
        <f t="shared" si="5"/>
        <v>0</v>
      </c>
      <c r="E17" s="1049">
        <f t="shared" si="6"/>
        <v>0</v>
      </c>
      <c r="F17" s="445">
        <f>'Проверочная  таблица'!BT21+'Проверочная  таблица'!BV21</f>
        <v>0</v>
      </c>
      <c r="G17" s="446">
        <f>'Проверочная  таблица'!BU21+'Проверочная  таблица'!BW21</f>
        <v>0</v>
      </c>
      <c r="H17" s="446">
        <f>'Проверочная  таблица'!CC21</f>
        <v>0</v>
      </c>
      <c r="I17" s="447">
        <f>'Проверочная  таблица'!CF21</f>
        <v>0</v>
      </c>
      <c r="J17" s="446">
        <f>'Проверочная  таблица'!CD21</f>
        <v>0</v>
      </c>
      <c r="K17" s="447">
        <f>'Проверочная  таблица'!CG21</f>
        <v>0</v>
      </c>
      <c r="L17" s="77">
        <f t="shared" si="2"/>
        <v>47948015.480000004</v>
      </c>
      <c r="M17" s="78">
        <f t="shared" si="3"/>
        <v>20465680.420000002</v>
      </c>
      <c r="N17" s="71">
        <f t="shared" si="7"/>
        <v>19689599.449999999</v>
      </c>
      <c r="O17" s="71">
        <f t="shared" si="8"/>
        <v>0</v>
      </c>
      <c r="P17" s="78">
        <f>'Проверочная  таблица'!CX21</f>
        <v>0</v>
      </c>
      <c r="Q17" s="78">
        <f>'Проверочная  таблица'!DE21</f>
        <v>0</v>
      </c>
      <c r="R17" s="78">
        <f>'Проверочная  таблица'!CZ21+'Проверочная  таблица'!DL21</f>
        <v>0</v>
      </c>
      <c r="S17" s="73">
        <f>'Проверочная  таблица'!DG21+'Проверочная  таблица'!DO21</f>
        <v>0</v>
      </c>
      <c r="T17" s="77">
        <f>'Проверочная  таблица'!DB21</f>
        <v>0</v>
      </c>
      <c r="U17" s="73">
        <f>'Проверочная  таблица'!DI21</f>
        <v>0</v>
      </c>
      <c r="V17" s="79">
        <f>'Проверочная  таблица'!ED21</f>
        <v>0</v>
      </c>
      <c r="W17" s="78">
        <f>'Проверочная  таблица'!EG21</f>
        <v>0</v>
      </c>
      <c r="X17" s="78">
        <f>'Проверочная  таблица'!EJ21</f>
        <v>0</v>
      </c>
      <c r="Y17" s="73">
        <f>'Проверочная  таблица'!EM21</f>
        <v>0</v>
      </c>
      <c r="Z17" s="73">
        <f>'Проверочная  таблица'!EQ21</f>
        <v>0</v>
      </c>
      <c r="AA17" s="73">
        <f>'Проверочная  таблица'!EU21</f>
        <v>0</v>
      </c>
      <c r="AB17" s="78">
        <f>'Проверочная  таблица'!EX21</f>
        <v>0</v>
      </c>
      <c r="AC17" s="73">
        <f>'Проверочная  таблица'!FA21</f>
        <v>0</v>
      </c>
      <c r="AD17" s="77">
        <f>'Проверочная  таблица'!FD21+'Проверочная  таблица'!FJ21</f>
        <v>567893.5</v>
      </c>
      <c r="AE17" s="78">
        <f>'Проверочная  таблица'!FG21+'Проверочная  таблица'!FM21</f>
        <v>0</v>
      </c>
      <c r="AF17" s="78">
        <f>'Проверочная  таблица'!GB21</f>
        <v>0</v>
      </c>
      <c r="AG17" s="78">
        <f>'Проверочная  таблица'!GE21</f>
        <v>0</v>
      </c>
      <c r="AH17" s="78">
        <f>'Проверочная  таблица'!GH21+'Проверочная  таблица'!GN21</f>
        <v>0</v>
      </c>
      <c r="AI17" s="73">
        <f>'Проверочная  таблица'!GK21+'Проверочная  таблица'!GQ21</f>
        <v>0</v>
      </c>
      <c r="AJ17" s="79">
        <f>'Проверочная  таблица'!GX21</f>
        <v>0</v>
      </c>
      <c r="AK17" s="78">
        <f>'Проверочная  таблица'!HB21</f>
        <v>0</v>
      </c>
      <c r="AL17" s="78">
        <f>'Проверочная  таблица'!HN21</f>
        <v>0</v>
      </c>
      <c r="AM17" s="78">
        <f>'Проверочная  таблица'!HQ21</f>
        <v>0</v>
      </c>
      <c r="AN17" s="78">
        <f>'Проверочная  таблица'!HT21+'Проверочная  таблица'!HZ21</f>
        <v>0</v>
      </c>
      <c r="AO17" s="78">
        <f>'Проверочная  таблица'!HW21+'Проверочная  таблица'!IC21</f>
        <v>0</v>
      </c>
      <c r="AP17" s="78">
        <f>'Проверочная  таблица'!IR21+'Проверочная  таблица'!IX21</f>
        <v>0</v>
      </c>
      <c r="AQ17" s="73">
        <f>'Проверочная  таблица'!IU21+'Проверочная  таблица'!JA21</f>
        <v>0</v>
      </c>
      <c r="AR17" s="77">
        <f>'Проверочная  таблица'!JH21</f>
        <v>0</v>
      </c>
      <c r="AS17" s="73">
        <f>'Проверочная  таблица'!JK21</f>
        <v>0</v>
      </c>
      <c r="AT17" s="77">
        <f>'Проверочная  таблица'!JN21</f>
        <v>0</v>
      </c>
      <c r="AU17" s="73">
        <f>'Проверочная  таблица'!JQ21</f>
        <v>0</v>
      </c>
      <c r="AV17" s="77">
        <f>'Проверочная  таблица'!JT21+'Проверочная  таблица'!JZ21</f>
        <v>0</v>
      </c>
      <c r="AW17" s="78">
        <f>'Проверочная  таблица'!JW21+'Проверочная  таблица'!KC21</f>
        <v>0</v>
      </c>
      <c r="AX17" s="78">
        <f>'Проверочная  таблица'!KR21+'Проверочная  таблица'!LB21</f>
        <v>414283.32</v>
      </c>
      <c r="AY17" s="73">
        <f>'Проверочная  таблица'!LG21+'Проверочная  таблица'!KW21</f>
        <v>0</v>
      </c>
      <c r="AZ17" s="78">
        <f>'Проверочная  таблица'!KT21+'Проверочная  таблица'!LD21</f>
        <v>85800.14</v>
      </c>
      <c r="BA17" s="73">
        <f>'Проверочная  таблица'!LI21+'Проверочная  таблица'!KY21</f>
        <v>0</v>
      </c>
      <c r="BB17" s="77">
        <f>'Проверочная  таблица'!LY21+'Проверочная  таблица'!MG21</f>
        <v>0</v>
      </c>
      <c r="BC17" s="73">
        <f>'Проверочная  таблица'!MK21+'Проверочная  таблица'!MC21</f>
        <v>0</v>
      </c>
      <c r="BD17" s="78">
        <f>'Проверочная  таблица'!NF21</f>
        <v>0</v>
      </c>
      <c r="BE17" s="73">
        <f>'Проверочная  таблица'!NN21</f>
        <v>0</v>
      </c>
      <c r="BF17" s="78">
        <f>'Проверочная  таблица'!ND21</f>
        <v>0</v>
      </c>
      <c r="BG17" s="73">
        <f>'Проверочная  таблица'!NL21</f>
        <v>0</v>
      </c>
      <c r="BH17" s="77">
        <f>'Проверочная  таблица'!NI21+'Проверочная  таблица'!NT21</f>
        <v>116813.02</v>
      </c>
      <c r="BI17" s="78">
        <f>'Проверочная  таблица'!NW21+'Проверочная  таблица'!NQ21</f>
        <v>0</v>
      </c>
      <c r="BJ17" s="73">
        <f>'Проверочная  таблица'!OL21</f>
        <v>0</v>
      </c>
      <c r="BK17" s="73">
        <f>'Проверочная  таблица'!OP21</f>
        <v>0</v>
      </c>
      <c r="BL17" s="77">
        <f>'Проверочная  таблица'!OT21+'Проверочная  таблица'!PB21</f>
        <v>18504809.469999999</v>
      </c>
      <c r="BM17" s="78">
        <f>'Проверочная  таблица'!OX21+'Проверочная  таблица'!PF21</f>
        <v>0</v>
      </c>
      <c r="BN17" s="78">
        <f>'Проверочная  таблица'!QJ21+'Проверочная  таблица'!PZ21</f>
        <v>0</v>
      </c>
      <c r="BO17" s="73">
        <f>'Проверочная  таблица'!QM21+'Проверочная  таблица'!QE21</f>
        <v>0</v>
      </c>
      <c r="BP17" s="78"/>
      <c r="BQ17" s="73"/>
      <c r="BR17" s="77">
        <f>'Проверочная  таблица'!RB21</f>
        <v>0</v>
      </c>
      <c r="BS17" s="73">
        <f>'Проверочная  таблица'!RE21</f>
        <v>0</v>
      </c>
      <c r="BT17" s="77">
        <f>'Проверочная  таблица'!RH21+'Проверочная  таблица'!RN21</f>
        <v>0</v>
      </c>
      <c r="BU17" s="73">
        <f>'Проверочная  таблица'!RK21+'Проверочная  таблица'!RQ21</f>
        <v>0</v>
      </c>
      <c r="BV17" s="77">
        <f>'Проверочная  таблица'!SF21</f>
        <v>0</v>
      </c>
      <c r="BW17" s="78">
        <f>'Проверочная  таблица'!SI21</f>
        <v>0</v>
      </c>
      <c r="BX17" s="78">
        <f>'Проверочная  таблица'!SM21</f>
        <v>0</v>
      </c>
      <c r="BY17" s="73">
        <f>'Проверочная  таблица'!SQ21</f>
        <v>0</v>
      </c>
      <c r="BZ17" s="77">
        <f>'Проверочная  таблица'!ST21</f>
        <v>0</v>
      </c>
      <c r="CA17" s="78">
        <f>'Проверочная  таблица'!SW21</f>
        <v>0</v>
      </c>
      <c r="CB17" s="78">
        <f>'Проверочная  таблица'!TN21+'Проверочная  таблица'!SZ21</f>
        <v>0</v>
      </c>
      <c r="CC17" s="73">
        <f>'Проверочная  таблица'!TU21+'Проверочная  таблица'!TG21</f>
        <v>0</v>
      </c>
      <c r="CD17" s="77">
        <f>'Проверочная  таблица'!TB21+'Проверочная  таблица'!TP21</f>
        <v>0</v>
      </c>
      <c r="CE17" s="78">
        <f>'Проверочная  таблица'!TW21+'Проверочная  таблица'!TI21</f>
        <v>0</v>
      </c>
      <c r="CF17" s="78">
        <f>'Проверочная  таблица'!TR21+'Проверочная  таблица'!TD21</f>
        <v>0</v>
      </c>
      <c r="CG17" s="73">
        <f>'Проверочная  таблица'!TY21+'Проверочная  таблица'!TK21</f>
        <v>0</v>
      </c>
      <c r="CH17" s="78">
        <f t="shared" si="9"/>
        <v>11974682.120000001</v>
      </c>
      <c r="CI17" s="78">
        <f t="shared" si="9"/>
        <v>7077790.4199999999</v>
      </c>
      <c r="CJ17" s="73">
        <f>'Проверочная  таблица'!VV21+'Проверочная  таблица'!VT21</f>
        <v>2786400</v>
      </c>
      <c r="CK17" s="73">
        <f>'Проверочная  таблица'!VW21+'Проверочная  таблица'!VU21</f>
        <v>1207998</v>
      </c>
      <c r="CL17" s="79">
        <f>'Проверочная  таблица'!VX21</f>
        <v>0</v>
      </c>
      <c r="CM17" s="79">
        <f>'Проверочная  таблица'!VY21</f>
        <v>0</v>
      </c>
      <c r="CN17" s="461">
        <f>'Проверочная  таблица'!VZ21</f>
        <v>0</v>
      </c>
      <c r="CO17" s="462">
        <f>'Проверочная  таблица'!WA21</f>
        <v>0</v>
      </c>
      <c r="CP17" s="463">
        <f>'Проверочная  таблица'!WB21</f>
        <v>0</v>
      </c>
      <c r="CQ17" s="462">
        <f>'Проверочная  таблица'!WC21</f>
        <v>0</v>
      </c>
      <c r="CR17" s="463">
        <f>'Проверочная  таблица'!WD21</f>
        <v>0</v>
      </c>
      <c r="CS17" s="461">
        <f>'Проверочная  таблица'!WE21</f>
        <v>0</v>
      </c>
      <c r="CT17" s="78">
        <f>'Проверочная  таблица'!WH21</f>
        <v>8255282.1200000001</v>
      </c>
      <c r="CU17" s="78">
        <f>'Проверочная  таблица'!WK21</f>
        <v>5500000</v>
      </c>
      <c r="CV17" s="78">
        <f>'Проверочная  таблица'!WN21</f>
        <v>933000</v>
      </c>
      <c r="CW17" s="78">
        <f>'Проверочная  таблица'!WQ21</f>
        <v>369792.42</v>
      </c>
      <c r="CX17" s="78">
        <f t="shared" si="10"/>
        <v>16283733.91</v>
      </c>
      <c r="CY17" s="73">
        <f t="shared" si="10"/>
        <v>13387890</v>
      </c>
      <c r="CZ17" s="77">
        <f>'Проверочная  таблица'!WV21</f>
        <v>0</v>
      </c>
      <c r="DA17" s="73">
        <f>'Проверочная  таблица'!WY21</f>
        <v>0</v>
      </c>
      <c r="DB17" s="77">
        <f>'Проверочная  таблица'!XB21</f>
        <v>1280690.9099999999</v>
      </c>
      <c r="DC17" s="73">
        <f>'Проверочная  таблица'!XE21</f>
        <v>694200</v>
      </c>
      <c r="DD17" s="77">
        <f>'Проверочная  таблица'!XH21</f>
        <v>15003043</v>
      </c>
      <c r="DE17" s="73">
        <f>'Проверочная  таблица'!XK21</f>
        <v>12693690</v>
      </c>
      <c r="DG17" s="456">
        <f t="shared" si="4"/>
        <v>9188.2821200000017</v>
      </c>
      <c r="DH17" s="456">
        <f t="shared" si="4"/>
        <v>5869.7924199999998</v>
      </c>
    </row>
    <row r="18" spans="1:112" ht="25.5" customHeight="1" x14ac:dyDescent="0.25">
      <c r="A18" s="70" t="s">
        <v>325</v>
      </c>
      <c r="B18" s="457">
        <f t="shared" si="0"/>
        <v>368323543.83000004</v>
      </c>
      <c r="C18" s="458">
        <f t="shared" si="1"/>
        <v>34282344.579999998</v>
      </c>
      <c r="D18" s="1048">
        <f t="shared" si="5"/>
        <v>104724050.66</v>
      </c>
      <c r="E18" s="1049">
        <f t="shared" si="6"/>
        <v>0</v>
      </c>
      <c r="F18" s="445">
        <f>'Проверочная  таблица'!BT22+'Проверочная  таблица'!BV22</f>
        <v>0</v>
      </c>
      <c r="G18" s="446">
        <f>'Проверочная  таблица'!BU22+'Проверочная  таблица'!BW22</f>
        <v>0</v>
      </c>
      <c r="H18" s="446">
        <f>'Проверочная  таблица'!CC22</f>
        <v>35842050.659999996</v>
      </c>
      <c r="I18" s="447">
        <f>'Проверочная  таблица'!CF22</f>
        <v>0</v>
      </c>
      <c r="J18" s="446">
        <f>'Проверочная  таблица'!CD22</f>
        <v>68882000</v>
      </c>
      <c r="K18" s="447">
        <f>'Проверочная  таблица'!CG22</f>
        <v>0</v>
      </c>
      <c r="L18" s="77">
        <f t="shared" si="2"/>
        <v>263599493.17000002</v>
      </c>
      <c r="M18" s="78">
        <f t="shared" si="3"/>
        <v>34282344.579999998</v>
      </c>
      <c r="N18" s="71">
        <f t="shared" si="7"/>
        <v>236419135.56</v>
      </c>
      <c r="O18" s="71">
        <f t="shared" si="8"/>
        <v>12462676.460000001</v>
      </c>
      <c r="P18" s="78">
        <f>'Проверочная  таблица'!CX22</f>
        <v>0</v>
      </c>
      <c r="Q18" s="78">
        <f>'Проверочная  таблица'!DE22</f>
        <v>0</v>
      </c>
      <c r="R18" s="78">
        <f>'Проверочная  таблица'!CZ22+'Проверочная  таблица'!DL22</f>
        <v>0</v>
      </c>
      <c r="S18" s="73">
        <f>'Проверочная  таблица'!DG22+'Проверочная  таблица'!DO22</f>
        <v>0</v>
      </c>
      <c r="T18" s="77">
        <f>'Проверочная  таблица'!DB22</f>
        <v>0</v>
      </c>
      <c r="U18" s="73">
        <f>'Проверочная  таблица'!DI22</f>
        <v>0</v>
      </c>
      <c r="V18" s="79">
        <f>'Проверочная  таблица'!ED22</f>
        <v>0</v>
      </c>
      <c r="W18" s="78">
        <f>'Проверочная  таблица'!EG22</f>
        <v>0</v>
      </c>
      <c r="X18" s="78">
        <f>'Проверочная  таблица'!EJ22</f>
        <v>0</v>
      </c>
      <c r="Y18" s="73">
        <f>'Проверочная  таблица'!EM22</f>
        <v>0</v>
      </c>
      <c r="Z18" s="73">
        <f>'Проверочная  таблица'!EQ22</f>
        <v>0</v>
      </c>
      <c r="AA18" s="73">
        <f>'Проверочная  таблица'!EU22</f>
        <v>0</v>
      </c>
      <c r="AB18" s="78">
        <f>'Проверочная  таблица'!EX22</f>
        <v>82494836.710000008</v>
      </c>
      <c r="AC18" s="73">
        <f>'Проверочная  таблица'!FA22</f>
        <v>0</v>
      </c>
      <c r="AD18" s="77">
        <f>'Проверочная  таблица'!FD22+'Проверочная  таблица'!FJ22</f>
        <v>0</v>
      </c>
      <c r="AE18" s="78">
        <f>'Проверочная  таблица'!FG22+'Проверочная  таблица'!FM22</f>
        <v>0</v>
      </c>
      <c r="AF18" s="78">
        <f>'Проверочная  таблица'!GB22</f>
        <v>0</v>
      </c>
      <c r="AG18" s="78">
        <f>'Проверочная  таблица'!GE22</f>
        <v>0</v>
      </c>
      <c r="AH18" s="78">
        <f>'Проверочная  таблица'!GH22+'Проверочная  таблица'!GN22</f>
        <v>0</v>
      </c>
      <c r="AI18" s="73">
        <f>'Проверочная  таблица'!GK22+'Проверочная  таблица'!GQ22</f>
        <v>0</v>
      </c>
      <c r="AJ18" s="79">
        <f>'Проверочная  таблица'!GX22</f>
        <v>0</v>
      </c>
      <c r="AK18" s="78">
        <f>'Проверочная  таблица'!HB22</f>
        <v>0</v>
      </c>
      <c r="AL18" s="78">
        <f>'Проверочная  таблица'!HN22</f>
        <v>0</v>
      </c>
      <c r="AM18" s="78">
        <f>'Проверочная  таблица'!HQ22</f>
        <v>0</v>
      </c>
      <c r="AN18" s="78">
        <f>'Проверочная  таблица'!HT22+'Проверочная  таблица'!HZ22</f>
        <v>821052.83999999985</v>
      </c>
      <c r="AO18" s="78">
        <f>'Проверочная  таблица'!HW22+'Проверочная  таблица'!IC22</f>
        <v>0</v>
      </c>
      <c r="AP18" s="78">
        <f>'Проверочная  таблица'!IR22+'Проверочная  таблица'!IX22</f>
        <v>0</v>
      </c>
      <c r="AQ18" s="73">
        <f>'Проверочная  таблица'!IU22+'Проверочная  таблица'!JA22</f>
        <v>0</v>
      </c>
      <c r="AR18" s="77">
        <f>'Проверочная  таблица'!JH22</f>
        <v>0</v>
      </c>
      <c r="AS18" s="73">
        <f>'Проверочная  таблица'!JK22</f>
        <v>0</v>
      </c>
      <c r="AT18" s="77">
        <f>'Проверочная  таблица'!JN22</f>
        <v>0</v>
      </c>
      <c r="AU18" s="73">
        <f>'Проверочная  таблица'!JQ22</f>
        <v>0</v>
      </c>
      <c r="AV18" s="77">
        <f>'Проверочная  таблица'!JT22+'Проверочная  таблица'!JZ22</f>
        <v>23542.699999999983</v>
      </c>
      <c r="AW18" s="78">
        <f>'Проверочная  таблица'!JW22+'Проверочная  таблица'!KC22</f>
        <v>0</v>
      </c>
      <c r="AX18" s="78">
        <f>'Проверочная  таблица'!KR22+'Проверочная  таблица'!LB22</f>
        <v>46224.67</v>
      </c>
      <c r="AY18" s="73">
        <f>'Проверочная  таблица'!LG22+'Проверочная  таблица'!KW22</f>
        <v>0</v>
      </c>
      <c r="AZ18" s="78">
        <f>'Проверочная  таблица'!KT22+'Проверочная  таблица'!LD22</f>
        <v>99572.97</v>
      </c>
      <c r="BA18" s="73">
        <f>'Проверочная  таблица'!LI22+'Проверочная  таблица'!KY22</f>
        <v>0</v>
      </c>
      <c r="BB18" s="77">
        <f>'Проверочная  таблица'!LY22+'Проверочная  таблица'!MG22</f>
        <v>0</v>
      </c>
      <c r="BC18" s="73">
        <f>'Проверочная  таблица'!MK22+'Проверочная  таблица'!MC22</f>
        <v>0</v>
      </c>
      <c r="BD18" s="78">
        <f>'Проверочная  таблица'!NF22</f>
        <v>0</v>
      </c>
      <c r="BE18" s="73">
        <f>'Проверочная  таблица'!NN22</f>
        <v>0</v>
      </c>
      <c r="BF18" s="78">
        <f>'Проверочная  таблица'!ND22</f>
        <v>0</v>
      </c>
      <c r="BG18" s="73">
        <f>'Проверочная  таблица'!NL22</f>
        <v>0</v>
      </c>
      <c r="BH18" s="77">
        <f>'Проверочная  таблица'!NI22+'Проверочная  таблица'!NT22</f>
        <v>129205.67</v>
      </c>
      <c r="BI18" s="78">
        <f>'Проверочная  таблица'!NW22+'Проверочная  таблица'!NQ22</f>
        <v>129205.67</v>
      </c>
      <c r="BJ18" s="73">
        <f>'Проверочная  таблица'!OL22</f>
        <v>0</v>
      </c>
      <c r="BK18" s="73">
        <f>'Проверочная  таблица'!OP22</f>
        <v>0</v>
      </c>
      <c r="BL18" s="77">
        <f>'Проверочная  таблица'!OT22+'Проверочная  таблица'!PB22</f>
        <v>15600000</v>
      </c>
      <c r="BM18" s="78">
        <f>'Проверочная  таблица'!OX22+'Проверочная  таблица'!PF22</f>
        <v>1912540.76</v>
      </c>
      <c r="BN18" s="78">
        <f>'Проверочная  таблица'!QJ22+'Проверочная  таблица'!PZ22</f>
        <v>0</v>
      </c>
      <c r="BO18" s="73">
        <f>'Проверочная  таблица'!QM22+'Проверочная  таблица'!QE22</f>
        <v>0</v>
      </c>
      <c r="BP18" s="78"/>
      <c r="BQ18" s="73"/>
      <c r="BR18" s="77">
        <f>'Проверочная  таблица'!RB22</f>
        <v>0</v>
      </c>
      <c r="BS18" s="73">
        <f>'Проверочная  таблица'!RE22</f>
        <v>0</v>
      </c>
      <c r="BT18" s="77">
        <f>'Проверочная  таблица'!RH22+'Проверочная  таблица'!RN22</f>
        <v>0</v>
      </c>
      <c r="BU18" s="73">
        <f>'Проверочная  таблица'!RK22+'Проверочная  таблица'!RQ22</f>
        <v>0</v>
      </c>
      <c r="BV18" s="77">
        <f>'Проверочная  таблица'!SF22</f>
        <v>0</v>
      </c>
      <c r="BW18" s="78">
        <f>'Проверочная  таблица'!SI22</f>
        <v>0</v>
      </c>
      <c r="BX18" s="78">
        <f>'Проверочная  таблица'!SM22</f>
        <v>75218600</v>
      </c>
      <c r="BY18" s="73">
        <f>'Проверочная  таблица'!SQ22</f>
        <v>953114.46</v>
      </c>
      <c r="BZ18" s="77">
        <f>'Проверочная  таблица'!ST22</f>
        <v>0</v>
      </c>
      <c r="CA18" s="78">
        <f>'Проверочная  таблица'!SW22</f>
        <v>0</v>
      </c>
      <c r="CB18" s="78">
        <f>'Проверочная  таблица'!TN22+'Проверочная  таблица'!SZ22</f>
        <v>0</v>
      </c>
      <c r="CC18" s="73">
        <f>'Проверочная  таблица'!TU22+'Проверочная  таблица'!TG22</f>
        <v>0</v>
      </c>
      <c r="CD18" s="77">
        <f>'Проверочная  таблица'!TB22+'Проверочная  таблица'!TP22</f>
        <v>0</v>
      </c>
      <c r="CE18" s="78">
        <f>'Проверочная  таблица'!TW22+'Проверочная  таблица'!TI22</f>
        <v>0</v>
      </c>
      <c r="CF18" s="78">
        <f>'Проверочная  таблица'!TR22+'Проверочная  таблица'!TD22</f>
        <v>61986100</v>
      </c>
      <c r="CG18" s="73">
        <f>'Проверочная  таблица'!TY22+'Проверочная  таблица'!TK22</f>
        <v>9467815.5700000003</v>
      </c>
      <c r="CH18" s="78">
        <f t="shared" si="9"/>
        <v>12347594.52</v>
      </c>
      <c r="CI18" s="78">
        <f t="shared" si="9"/>
        <v>7582438.7999999998</v>
      </c>
      <c r="CJ18" s="73">
        <f>'Проверочная  таблица'!VV22+'Проверочная  таблица'!VT22</f>
        <v>2705300</v>
      </c>
      <c r="CK18" s="73">
        <f>'Проверочная  таблица'!VW22+'Проверочная  таблица'!VU22</f>
        <v>1039413.8</v>
      </c>
      <c r="CL18" s="79">
        <f>'Проверочная  таблица'!VX22</f>
        <v>0</v>
      </c>
      <c r="CM18" s="79">
        <f>'Проверочная  таблица'!VY22</f>
        <v>0</v>
      </c>
      <c r="CN18" s="461">
        <f>'Проверочная  таблица'!VZ22</f>
        <v>0</v>
      </c>
      <c r="CO18" s="462">
        <f>'Проверочная  таблица'!WA22</f>
        <v>0</v>
      </c>
      <c r="CP18" s="463">
        <f>'Проверочная  таблица'!WB22</f>
        <v>0</v>
      </c>
      <c r="CQ18" s="462">
        <f>'Проверочная  таблица'!WC22</f>
        <v>0</v>
      </c>
      <c r="CR18" s="463">
        <f>'Проверочная  таблица'!WD22</f>
        <v>0</v>
      </c>
      <c r="CS18" s="461">
        <f>'Проверочная  таблица'!WE22</f>
        <v>0</v>
      </c>
      <c r="CT18" s="78">
        <f>'Проверочная  таблица'!WH22</f>
        <v>8942294.5199999996</v>
      </c>
      <c r="CU18" s="78">
        <f>'Проверочная  таблица'!WK22</f>
        <v>6022025</v>
      </c>
      <c r="CV18" s="78">
        <f>'Проверочная  таблица'!WN22</f>
        <v>700000</v>
      </c>
      <c r="CW18" s="78">
        <f>'Проверочная  таблица'!WQ22</f>
        <v>521000</v>
      </c>
      <c r="CX18" s="78">
        <f t="shared" si="10"/>
        <v>14832763.09</v>
      </c>
      <c r="CY18" s="73">
        <f t="shared" si="10"/>
        <v>14237229.32</v>
      </c>
      <c r="CZ18" s="77">
        <f>'Проверочная  таблица'!WV22</f>
        <v>0</v>
      </c>
      <c r="DA18" s="73">
        <f>'Проверочная  таблица'!WY22</f>
        <v>0</v>
      </c>
      <c r="DB18" s="77">
        <f>'Проверочная  таблица'!XB22</f>
        <v>1536829.0899999999</v>
      </c>
      <c r="DC18" s="73">
        <f>'Проверочная  таблица'!XE22</f>
        <v>941295.32</v>
      </c>
      <c r="DD18" s="77">
        <f>'Проверочная  таблица'!XH22</f>
        <v>13295934</v>
      </c>
      <c r="DE18" s="73">
        <f>'Проверочная  таблица'!XK22</f>
        <v>13295934</v>
      </c>
      <c r="DG18" s="456">
        <f t="shared" si="4"/>
        <v>9642.2945199999995</v>
      </c>
      <c r="DH18" s="456">
        <f t="shared" si="4"/>
        <v>6543.0249999999996</v>
      </c>
    </row>
    <row r="19" spans="1:112" ht="25.5" customHeight="1" x14ac:dyDescent="0.25">
      <c r="A19" s="464" t="s">
        <v>326</v>
      </c>
      <c r="B19" s="465">
        <f t="shared" si="0"/>
        <v>246675676.94</v>
      </c>
      <c r="C19" s="466">
        <f t="shared" si="1"/>
        <v>73861552.75999999</v>
      </c>
      <c r="D19" s="1048">
        <f t="shared" si="5"/>
        <v>23600305.479999997</v>
      </c>
      <c r="E19" s="1049">
        <f t="shared" si="6"/>
        <v>0</v>
      </c>
      <c r="F19" s="445">
        <f>'Проверочная  таблица'!BT15+'Проверочная  таблица'!BV15</f>
        <v>0</v>
      </c>
      <c r="G19" s="446">
        <f>'Проверочная  таблица'!BU15+'Проверочная  таблица'!BW15</f>
        <v>0</v>
      </c>
      <c r="H19" s="446">
        <f>'Проверочная  таблица'!CC15</f>
        <v>16551305.479999999</v>
      </c>
      <c r="I19" s="447">
        <f>'Проверочная  таблица'!CF15</f>
        <v>0</v>
      </c>
      <c r="J19" s="446">
        <f>'Проверочная  таблица'!CD15</f>
        <v>7049000</v>
      </c>
      <c r="K19" s="447">
        <f>'Проверочная  таблица'!CG15</f>
        <v>0</v>
      </c>
      <c r="L19" s="77">
        <f t="shared" si="2"/>
        <v>223075371.46000001</v>
      </c>
      <c r="M19" s="78">
        <f t="shared" si="3"/>
        <v>73861552.75999999</v>
      </c>
      <c r="N19" s="71">
        <f t="shared" si="7"/>
        <v>204147095.17000002</v>
      </c>
      <c r="O19" s="71">
        <f t="shared" si="8"/>
        <v>60391748.619999997</v>
      </c>
      <c r="P19" s="78">
        <f>'Проверочная  таблица'!CX15</f>
        <v>0</v>
      </c>
      <c r="Q19" s="78">
        <f>'Проверочная  таблица'!DE15</f>
        <v>0</v>
      </c>
      <c r="R19" s="78">
        <f>'Проверочная  таблица'!CZ15+'Проверочная  таблица'!DL15</f>
        <v>0</v>
      </c>
      <c r="S19" s="73">
        <f>'Проверочная  таблица'!DG15+'Проверочная  таблица'!DO15</f>
        <v>0</v>
      </c>
      <c r="T19" s="77">
        <f>'Проверочная  таблица'!DB15</f>
        <v>0</v>
      </c>
      <c r="U19" s="73">
        <f>'Проверочная  таблица'!DI15</f>
        <v>0</v>
      </c>
      <c r="V19" s="79">
        <f>'Проверочная  таблица'!ED15</f>
        <v>0</v>
      </c>
      <c r="W19" s="78">
        <f>'Проверочная  таблица'!EG15</f>
        <v>0</v>
      </c>
      <c r="X19" s="78">
        <f>'Проверочная  таблица'!EJ15</f>
        <v>0</v>
      </c>
      <c r="Y19" s="73">
        <f>'Проверочная  таблица'!EM15</f>
        <v>0</v>
      </c>
      <c r="Z19" s="73">
        <f>'Проверочная  таблица'!EQ15</f>
        <v>0</v>
      </c>
      <c r="AA19" s="73">
        <f>'Проверочная  таблица'!EU15</f>
        <v>0</v>
      </c>
      <c r="AB19" s="78">
        <f>'Проверочная  таблица'!EX15</f>
        <v>0</v>
      </c>
      <c r="AC19" s="73">
        <f>'Проверочная  таблица'!FA15</f>
        <v>0</v>
      </c>
      <c r="AD19" s="77">
        <f>'Проверочная  таблица'!FD15+'Проверочная  таблица'!FJ15</f>
        <v>1497946.03</v>
      </c>
      <c r="AE19" s="78">
        <f>'Проверочная  таблица'!FG15+'Проверочная  таблица'!FM15</f>
        <v>0</v>
      </c>
      <c r="AF19" s="78">
        <f>'Проверочная  таблица'!GB15</f>
        <v>0</v>
      </c>
      <c r="AG19" s="78">
        <f>'Проверочная  таблица'!GE15</f>
        <v>0</v>
      </c>
      <c r="AH19" s="78">
        <f>'Проверочная  таблица'!GH15+'Проверочная  таблица'!GN15</f>
        <v>0</v>
      </c>
      <c r="AI19" s="73">
        <f>'Проверочная  таблица'!GK15+'Проверочная  таблица'!GQ15</f>
        <v>0</v>
      </c>
      <c r="AJ19" s="79">
        <f>'Проверочная  таблица'!GX15</f>
        <v>0</v>
      </c>
      <c r="AK19" s="78">
        <f>'Проверочная  таблица'!HB15</f>
        <v>0</v>
      </c>
      <c r="AL19" s="78">
        <f>'Проверочная  таблица'!HN15</f>
        <v>0</v>
      </c>
      <c r="AM19" s="78">
        <f>'Проверочная  таблица'!HQ15</f>
        <v>0</v>
      </c>
      <c r="AN19" s="78">
        <f>'Проверочная  таблица'!HT15+'Проверочная  таблица'!HZ15</f>
        <v>0</v>
      </c>
      <c r="AO19" s="78">
        <f>'Проверочная  таблица'!HW15+'Проверочная  таблица'!IC15</f>
        <v>0</v>
      </c>
      <c r="AP19" s="78">
        <f>'Проверочная  таблица'!IR15+'Проверочная  таблица'!IX15</f>
        <v>0</v>
      </c>
      <c r="AQ19" s="73">
        <f>'Проверочная  таблица'!IU15+'Проверочная  таблица'!JA15</f>
        <v>0</v>
      </c>
      <c r="AR19" s="77">
        <f>'Проверочная  таблица'!JH15</f>
        <v>0</v>
      </c>
      <c r="AS19" s="73">
        <f>'Проверочная  таблица'!JK15</f>
        <v>0</v>
      </c>
      <c r="AT19" s="77">
        <f>'Проверочная  таблица'!JN15</f>
        <v>0</v>
      </c>
      <c r="AU19" s="73">
        <f>'Проверочная  таблица'!JQ15</f>
        <v>0</v>
      </c>
      <c r="AV19" s="77">
        <f>'Проверочная  таблица'!JT15+'Проверочная  таблица'!JZ15</f>
        <v>0</v>
      </c>
      <c r="AW19" s="78">
        <f>'Проверочная  таблица'!JW15+'Проверочная  таблица'!KC15</f>
        <v>0</v>
      </c>
      <c r="AX19" s="78">
        <f>'Проверочная  таблица'!KR15+'Проверочная  таблица'!LB15</f>
        <v>327695.53000000003</v>
      </c>
      <c r="AY19" s="73">
        <f>'Проверочная  таблица'!LG15+'Проверочная  таблица'!KW15</f>
        <v>0</v>
      </c>
      <c r="AZ19" s="78">
        <f>'Проверочная  таблица'!KT15+'Проверочная  таблица'!LD15</f>
        <v>54887.65</v>
      </c>
      <c r="BA19" s="73">
        <f>'Проверочная  таблица'!LI15+'Проверочная  таблица'!KY15</f>
        <v>0</v>
      </c>
      <c r="BB19" s="77">
        <f>'Проверочная  таблица'!LY15+'Проверочная  таблица'!MG15</f>
        <v>0</v>
      </c>
      <c r="BC19" s="73">
        <f>'Проверочная  таблица'!MK15+'Проверочная  таблица'!MC15</f>
        <v>0</v>
      </c>
      <c r="BD19" s="78">
        <f>'Проверочная  таблица'!NF15</f>
        <v>0</v>
      </c>
      <c r="BE19" s="73">
        <f>'Проверочная  таблица'!NN15</f>
        <v>0</v>
      </c>
      <c r="BF19" s="78">
        <f>'Проверочная  таблица'!ND15</f>
        <v>0</v>
      </c>
      <c r="BG19" s="73">
        <f>'Проверочная  таблица'!NL15</f>
        <v>0</v>
      </c>
      <c r="BH19" s="77">
        <f>'Проверочная  таблица'!NI15+'Проверочная  таблица'!NT15</f>
        <v>90665.96</v>
      </c>
      <c r="BI19" s="78">
        <f>'Проверочная  таблица'!NW15+'Проверочная  таблица'!NQ15</f>
        <v>90665.96</v>
      </c>
      <c r="BJ19" s="73">
        <f>'Проверочная  таблица'!OL15</f>
        <v>0</v>
      </c>
      <c r="BK19" s="73">
        <f>'Проверочная  таблица'!OP15</f>
        <v>0</v>
      </c>
      <c r="BL19" s="77">
        <f>'Проверочная  таблица'!OT15+'Проверочная  таблица'!PB15</f>
        <v>0</v>
      </c>
      <c r="BM19" s="78">
        <f>'Проверочная  таблица'!OX15+'Проверочная  таблица'!PF15</f>
        <v>0</v>
      </c>
      <c r="BN19" s="78">
        <f>'Проверочная  таблица'!QJ15+'Проверочная  таблица'!PZ15</f>
        <v>0</v>
      </c>
      <c r="BO19" s="73">
        <f>'Проверочная  таблица'!QM15+'Проверочная  таблица'!QE15</f>
        <v>0</v>
      </c>
      <c r="BP19" s="78"/>
      <c r="BQ19" s="73"/>
      <c r="BR19" s="77">
        <f>'Проверочная  таблица'!RB15</f>
        <v>0</v>
      </c>
      <c r="BS19" s="73">
        <f>'Проверочная  таблица'!RE15</f>
        <v>0</v>
      </c>
      <c r="BT19" s="77">
        <f>'Проверочная  таблица'!RH15+'Проверочная  таблица'!RN15</f>
        <v>0</v>
      </c>
      <c r="BU19" s="73">
        <f>'Проверочная  таблица'!RK15+'Проверочная  таблица'!RQ15</f>
        <v>0</v>
      </c>
      <c r="BV19" s="77">
        <f>'Проверочная  таблица'!SF15</f>
        <v>0</v>
      </c>
      <c r="BW19" s="78">
        <f>'Проверочная  таблица'!SI15</f>
        <v>0</v>
      </c>
      <c r="BX19" s="78">
        <f>'Проверочная  таблица'!SM15</f>
        <v>0</v>
      </c>
      <c r="BY19" s="73">
        <f>'Проверочная  таблица'!SQ15</f>
        <v>0</v>
      </c>
      <c r="BZ19" s="77">
        <f>'Проверочная  таблица'!ST15</f>
        <v>0</v>
      </c>
      <c r="CA19" s="78">
        <f>'Проверочная  таблица'!SW15</f>
        <v>0</v>
      </c>
      <c r="CB19" s="78">
        <f>'Проверочная  таблица'!TN15+'Проверочная  таблица'!SZ15</f>
        <v>0</v>
      </c>
      <c r="CC19" s="73">
        <f>'Проверочная  таблица'!TU15+'Проверочная  таблица'!TG15</f>
        <v>0</v>
      </c>
      <c r="CD19" s="77">
        <f>'Проверочная  таблица'!TB15+'Проверочная  таблица'!TP15</f>
        <v>0</v>
      </c>
      <c r="CE19" s="78">
        <f>'Проверочная  таблица'!TW15+'Проверочная  таблица'!TI15</f>
        <v>0</v>
      </c>
      <c r="CF19" s="78">
        <f>'Проверочная  таблица'!TR15+'Проверочная  таблица'!TD15</f>
        <v>202175900</v>
      </c>
      <c r="CG19" s="73">
        <f>'Проверочная  таблица'!TY15+'Проверочная  таблица'!TK15</f>
        <v>60301082.659999996</v>
      </c>
      <c r="CH19" s="78">
        <f t="shared" si="9"/>
        <v>7174264.8399999999</v>
      </c>
      <c r="CI19" s="78">
        <f t="shared" si="9"/>
        <v>3169374.14</v>
      </c>
      <c r="CJ19" s="73">
        <f>'Проверочная  таблица'!VV15+'Проверочная  таблица'!VT15</f>
        <v>2029300</v>
      </c>
      <c r="CK19" s="73">
        <f>'Проверочная  таблица'!VW15+'Проверочная  таблица'!VU15</f>
        <v>270776.5</v>
      </c>
      <c r="CL19" s="79">
        <f>'Проверочная  таблица'!VX15</f>
        <v>0</v>
      </c>
      <c r="CM19" s="79">
        <f>'Проверочная  таблица'!VY15</f>
        <v>0</v>
      </c>
      <c r="CN19" s="461">
        <f>'Проверочная  таблица'!VZ15</f>
        <v>0</v>
      </c>
      <c r="CO19" s="462">
        <f>'Проверочная  таблица'!WA15</f>
        <v>0</v>
      </c>
      <c r="CP19" s="463">
        <f>'Проверочная  таблица'!WB15</f>
        <v>0</v>
      </c>
      <c r="CQ19" s="462">
        <f>'Проверочная  таблица'!WC15</f>
        <v>0</v>
      </c>
      <c r="CR19" s="463">
        <f>'Проверочная  таблица'!WD15</f>
        <v>0</v>
      </c>
      <c r="CS19" s="461">
        <f>'Проверочная  таблица'!WE15</f>
        <v>0</v>
      </c>
      <c r="CT19" s="78">
        <f>'Проверочная  таблица'!WH15</f>
        <v>4324964.84</v>
      </c>
      <c r="CU19" s="78">
        <f>'Проверочная  таблица'!WK15</f>
        <v>2442000</v>
      </c>
      <c r="CV19" s="78">
        <f>'Проверочная  таблица'!WN15</f>
        <v>820000</v>
      </c>
      <c r="CW19" s="78">
        <f>'Проверочная  таблица'!WQ15</f>
        <v>456597.64</v>
      </c>
      <c r="CX19" s="78">
        <f t="shared" si="10"/>
        <v>11754011.449999999</v>
      </c>
      <c r="CY19" s="73">
        <f t="shared" si="10"/>
        <v>10300430</v>
      </c>
      <c r="CZ19" s="77">
        <f>'Проверочная  таблица'!WV15</f>
        <v>0</v>
      </c>
      <c r="DA19" s="73">
        <f>'Проверочная  таблица'!WY15</f>
        <v>0</v>
      </c>
      <c r="DB19" s="77">
        <f>'Проверочная  таблица'!XB15</f>
        <v>2049105.45</v>
      </c>
      <c r="DC19" s="73">
        <f>'Проверочная  таблица'!XE15</f>
        <v>1195320</v>
      </c>
      <c r="DD19" s="77">
        <f>'Проверочная  таблица'!XH15</f>
        <v>9704906</v>
      </c>
      <c r="DE19" s="73">
        <f>'Проверочная  таблица'!XK15</f>
        <v>9105110</v>
      </c>
      <c r="DG19" s="456">
        <f t="shared" si="4"/>
        <v>5144.9648399999996</v>
      </c>
      <c r="DH19" s="456">
        <f t="shared" si="4"/>
        <v>2898.59764</v>
      </c>
    </row>
    <row r="20" spans="1:112" ht="25.5" customHeight="1" x14ac:dyDescent="0.25">
      <c r="A20" s="70" t="s">
        <v>327</v>
      </c>
      <c r="B20" s="457">
        <f t="shared" si="0"/>
        <v>54776445</v>
      </c>
      <c r="C20" s="458">
        <f t="shared" si="1"/>
        <v>12532641</v>
      </c>
      <c r="D20" s="1048">
        <f t="shared" si="5"/>
        <v>19108300</v>
      </c>
      <c r="E20" s="1049">
        <f t="shared" si="6"/>
        <v>0</v>
      </c>
      <c r="F20" s="445">
        <f>'Проверочная  таблица'!BT23+'Проверочная  таблица'!BV23</f>
        <v>0</v>
      </c>
      <c r="G20" s="446">
        <f>'Проверочная  таблица'!BU23+'Проверочная  таблица'!BW23</f>
        <v>0</v>
      </c>
      <c r="H20" s="446">
        <f>'Проверочная  таблица'!CC23</f>
        <v>19108300</v>
      </c>
      <c r="I20" s="447">
        <f>'Проверочная  таблица'!CF23</f>
        <v>0</v>
      </c>
      <c r="J20" s="446">
        <f>'Проверочная  таблица'!CD23</f>
        <v>0</v>
      </c>
      <c r="K20" s="447">
        <f>'Проверочная  таблица'!CG23</f>
        <v>0</v>
      </c>
      <c r="L20" s="77">
        <f t="shared" si="2"/>
        <v>35668145</v>
      </c>
      <c r="M20" s="78">
        <f t="shared" si="3"/>
        <v>12532641</v>
      </c>
      <c r="N20" s="71">
        <f t="shared" si="7"/>
        <v>21423973.990000002</v>
      </c>
      <c r="O20" s="71">
        <f t="shared" si="8"/>
        <v>1494819.4199999997</v>
      </c>
      <c r="P20" s="78">
        <f>'Проверочная  таблица'!CX23</f>
        <v>0</v>
      </c>
      <c r="Q20" s="78">
        <f>'Проверочная  таблица'!DE23</f>
        <v>0</v>
      </c>
      <c r="R20" s="78">
        <f>'Проверочная  таблица'!CZ23+'Проверочная  таблица'!DL23</f>
        <v>0</v>
      </c>
      <c r="S20" s="73">
        <f>'Проверочная  таблица'!DG23+'Проверочная  таблица'!DO23</f>
        <v>0</v>
      </c>
      <c r="T20" s="77">
        <f>'Проверочная  таблица'!DB23</f>
        <v>0</v>
      </c>
      <c r="U20" s="73">
        <f>'Проверочная  таблица'!DI23</f>
        <v>0</v>
      </c>
      <c r="V20" s="79">
        <f>'Проверочная  таблица'!ED23</f>
        <v>0</v>
      </c>
      <c r="W20" s="78">
        <f>'Проверочная  таблица'!EG23</f>
        <v>0</v>
      </c>
      <c r="X20" s="78">
        <f>'Проверочная  таблица'!EJ23</f>
        <v>0</v>
      </c>
      <c r="Y20" s="73">
        <f>'Проверочная  таблица'!EM23</f>
        <v>0</v>
      </c>
      <c r="Z20" s="73">
        <f>'Проверочная  таблица'!EQ23</f>
        <v>0</v>
      </c>
      <c r="AA20" s="73">
        <f>'Проверочная  таблица'!EU23</f>
        <v>0</v>
      </c>
      <c r="AB20" s="78">
        <f>'Проверочная  таблица'!EX23</f>
        <v>0</v>
      </c>
      <c r="AC20" s="73">
        <f>'Проверочная  таблица'!FA23</f>
        <v>0</v>
      </c>
      <c r="AD20" s="77">
        <f>'Проверочная  таблица'!FD23+'Проверочная  таблица'!FJ23</f>
        <v>0</v>
      </c>
      <c r="AE20" s="78">
        <f>'Проверочная  таблица'!FG23+'Проверочная  таблица'!FM23</f>
        <v>0</v>
      </c>
      <c r="AF20" s="78">
        <f>'Проверочная  таблица'!GB23</f>
        <v>0</v>
      </c>
      <c r="AG20" s="78">
        <f>'Проверочная  таблица'!GE23</f>
        <v>0</v>
      </c>
      <c r="AH20" s="78">
        <f>'Проверочная  таблица'!GH23+'Проверочная  таблица'!GN23</f>
        <v>0</v>
      </c>
      <c r="AI20" s="73">
        <f>'Проверочная  таблица'!GK23+'Проверочная  таблица'!GQ23</f>
        <v>0</v>
      </c>
      <c r="AJ20" s="79">
        <f>'Проверочная  таблица'!GX23</f>
        <v>0</v>
      </c>
      <c r="AK20" s="78">
        <f>'Проверочная  таблица'!HB23</f>
        <v>0</v>
      </c>
      <c r="AL20" s="78">
        <f>'Проверочная  таблица'!HN23</f>
        <v>0</v>
      </c>
      <c r="AM20" s="78">
        <f>'Проверочная  таблица'!HQ23</f>
        <v>0</v>
      </c>
      <c r="AN20" s="78">
        <f>'Проверочная  таблица'!HT23+'Проверочная  таблица'!HZ23</f>
        <v>0</v>
      </c>
      <c r="AO20" s="78">
        <f>'Проверочная  таблица'!HW23+'Проверочная  таблица'!IC23</f>
        <v>0</v>
      </c>
      <c r="AP20" s="78">
        <f>'Проверочная  таблица'!IR23+'Проверочная  таблица'!IX23</f>
        <v>0</v>
      </c>
      <c r="AQ20" s="73">
        <f>'Проверочная  таблица'!IU23+'Проверочная  таблица'!JA23</f>
        <v>0</v>
      </c>
      <c r="AR20" s="77">
        <f>'Проверочная  таблица'!JH23</f>
        <v>0</v>
      </c>
      <c r="AS20" s="73">
        <f>'Проверочная  таблица'!JK23</f>
        <v>0</v>
      </c>
      <c r="AT20" s="77">
        <f>'Проверочная  таблица'!JN23</f>
        <v>0</v>
      </c>
      <c r="AU20" s="73">
        <f>'Проверочная  таблица'!JQ23</f>
        <v>0</v>
      </c>
      <c r="AV20" s="77">
        <f>'Проверочная  таблица'!JT23+'Проверочная  таблица'!JZ23</f>
        <v>0</v>
      </c>
      <c r="AW20" s="78">
        <f>'Проверочная  таблица'!JW23+'Проверочная  таблица'!KC23</f>
        <v>0</v>
      </c>
      <c r="AX20" s="78">
        <f>'Проверочная  таблица'!KR23+'Проверочная  таблица'!LB23</f>
        <v>329453.15999999997</v>
      </c>
      <c r="AY20" s="73">
        <f>'Проверочная  таблица'!LG23+'Проверочная  таблица'!KW23</f>
        <v>0</v>
      </c>
      <c r="AZ20" s="78">
        <f>'Проверочная  таблица'!KT23+'Проверочная  таблица'!LD23</f>
        <v>64797.21</v>
      </c>
      <c r="BA20" s="73">
        <f>'Проверочная  таблица'!LI23+'Проверочная  таблица'!KY23</f>
        <v>0</v>
      </c>
      <c r="BB20" s="77">
        <f>'Проверочная  таблица'!LY23+'Проверочная  таблица'!MG23</f>
        <v>0</v>
      </c>
      <c r="BC20" s="73">
        <f>'Проверочная  таблица'!MK23+'Проверочная  таблица'!MC23</f>
        <v>0</v>
      </c>
      <c r="BD20" s="78">
        <f>'Проверочная  таблица'!NF23</f>
        <v>0</v>
      </c>
      <c r="BE20" s="73">
        <f>'Проверочная  таблица'!NN23</f>
        <v>0</v>
      </c>
      <c r="BF20" s="78">
        <f>'Проверочная  таблица'!ND23</f>
        <v>0</v>
      </c>
      <c r="BG20" s="73">
        <f>'Проверочная  таблица'!NL23</f>
        <v>0</v>
      </c>
      <c r="BH20" s="77">
        <f>'Проверочная  таблица'!NI23+'Проверочная  таблица'!NT23</f>
        <v>64021.45</v>
      </c>
      <c r="BI20" s="78">
        <f>'Проверочная  таблица'!NW23+'Проверочная  таблица'!NQ23</f>
        <v>64021.45</v>
      </c>
      <c r="BJ20" s="73">
        <f>'Проверочная  таблица'!OL23</f>
        <v>0</v>
      </c>
      <c r="BK20" s="73">
        <f>'Проверочная  таблица'!OP23</f>
        <v>0</v>
      </c>
      <c r="BL20" s="77">
        <f>'Проверочная  таблица'!OT23+'Проверочная  таблица'!PB23</f>
        <v>7388479.1600000001</v>
      </c>
      <c r="BM20" s="78">
        <f>'Проверочная  таблица'!OX23+'Проверочная  таблица'!PF23</f>
        <v>0</v>
      </c>
      <c r="BN20" s="78">
        <f>'Проверочная  таблица'!QJ23+'Проверочная  таблица'!PZ23</f>
        <v>0</v>
      </c>
      <c r="BO20" s="73">
        <f>'Проверочная  таблица'!QM23+'Проверочная  таблица'!QE23</f>
        <v>0</v>
      </c>
      <c r="BP20" s="78"/>
      <c r="BQ20" s="73"/>
      <c r="BR20" s="77">
        <f>'Проверочная  таблица'!RB23</f>
        <v>0</v>
      </c>
      <c r="BS20" s="73">
        <f>'Проверочная  таблица'!RE23</f>
        <v>0</v>
      </c>
      <c r="BT20" s="77">
        <f>'Проверочная  таблица'!RH23+'Проверочная  таблица'!RN23</f>
        <v>0</v>
      </c>
      <c r="BU20" s="73">
        <f>'Проверочная  таблица'!RK23+'Проверочная  таблица'!RQ23</f>
        <v>0</v>
      </c>
      <c r="BV20" s="77">
        <f>'Проверочная  таблица'!SF23</f>
        <v>0</v>
      </c>
      <c r="BW20" s="78">
        <f>'Проверочная  таблица'!SI23</f>
        <v>0</v>
      </c>
      <c r="BX20" s="78">
        <f>'Проверочная  таблица'!SM23</f>
        <v>0</v>
      </c>
      <c r="BY20" s="73">
        <f>'Проверочная  таблица'!SQ23</f>
        <v>0</v>
      </c>
      <c r="BZ20" s="77">
        <f>'Проверочная  таблица'!ST23</f>
        <v>0</v>
      </c>
      <c r="CA20" s="78">
        <f>'Проверочная  таблица'!SW23</f>
        <v>0</v>
      </c>
      <c r="CB20" s="78">
        <f>'Проверочная  таблица'!TN23+'Проверочная  таблица'!SZ23</f>
        <v>13577223.01</v>
      </c>
      <c r="CC20" s="73">
        <f>'Проверочная  таблица'!TU23+'Проверочная  таблица'!TG23</f>
        <v>1430797.9699999997</v>
      </c>
      <c r="CD20" s="77">
        <f>'Проверочная  таблица'!TB23+'Проверочная  таблица'!TP23</f>
        <v>0</v>
      </c>
      <c r="CE20" s="78">
        <f>'Проверочная  таблица'!TW23+'Проверочная  таблица'!TI23</f>
        <v>0</v>
      </c>
      <c r="CF20" s="78">
        <f>'Проверочная  таблица'!TR23+'Проверочная  таблица'!TD23</f>
        <v>0</v>
      </c>
      <c r="CG20" s="73">
        <f>'Проверочная  таблица'!TY23+'Проверочная  таблица'!TK23</f>
        <v>0</v>
      </c>
      <c r="CH20" s="78">
        <f t="shared" si="9"/>
        <v>6266988.2800000003</v>
      </c>
      <c r="CI20" s="78">
        <f t="shared" si="9"/>
        <v>3572915.2</v>
      </c>
      <c r="CJ20" s="73">
        <f>'Проверочная  таблица'!VV23+'Проверочная  таблица'!VT23</f>
        <v>1137400</v>
      </c>
      <c r="CK20" s="73">
        <f>'Проверочная  таблица'!VW23+'Проверочная  таблица'!VU23</f>
        <v>525757.33000000007</v>
      </c>
      <c r="CL20" s="79">
        <f>'Проверочная  таблица'!VX23</f>
        <v>0</v>
      </c>
      <c r="CM20" s="79">
        <f>'Проверочная  таблица'!VY23</f>
        <v>0</v>
      </c>
      <c r="CN20" s="461">
        <f>'Проверочная  таблица'!VZ23</f>
        <v>0</v>
      </c>
      <c r="CO20" s="462">
        <f>'Проверочная  таблица'!WA23</f>
        <v>0</v>
      </c>
      <c r="CP20" s="463">
        <f>'Проверочная  таблица'!WB23</f>
        <v>0</v>
      </c>
      <c r="CQ20" s="462">
        <f>'Проверочная  таблица'!WC23</f>
        <v>0</v>
      </c>
      <c r="CR20" s="463">
        <f>'Проверочная  таблица'!WD23</f>
        <v>0</v>
      </c>
      <c r="CS20" s="461">
        <f>'Проверочная  таблица'!WE23</f>
        <v>0</v>
      </c>
      <c r="CT20" s="78">
        <f>'Проверочная  таблица'!WH23</f>
        <v>4344588.28</v>
      </c>
      <c r="CU20" s="78">
        <f>'Проверочная  таблица'!WK23</f>
        <v>2650534.4</v>
      </c>
      <c r="CV20" s="78">
        <f>'Проверочная  таблица'!WN23</f>
        <v>785000</v>
      </c>
      <c r="CW20" s="78">
        <f>'Проверочная  таблица'!WQ23</f>
        <v>396623.47</v>
      </c>
      <c r="CX20" s="78">
        <f t="shared" si="10"/>
        <v>7977182.7300000004</v>
      </c>
      <c r="CY20" s="73">
        <f t="shared" si="10"/>
        <v>7464906.3799999999</v>
      </c>
      <c r="CZ20" s="77">
        <f>'Проверочная  таблица'!WV23</f>
        <v>0</v>
      </c>
      <c r="DA20" s="73">
        <f>'Проверочная  таблица'!WY23</f>
        <v>0</v>
      </c>
      <c r="DB20" s="77">
        <f>'Проверочная  таблица'!XB23</f>
        <v>1024552.7300000001</v>
      </c>
      <c r="DC20" s="73">
        <f>'Проверочная  таблица'!XE23</f>
        <v>512276.38</v>
      </c>
      <c r="DD20" s="77">
        <f>'Проверочная  таблица'!XH23</f>
        <v>6952630</v>
      </c>
      <c r="DE20" s="73">
        <f>'Проверочная  таблица'!XK23</f>
        <v>6952630</v>
      </c>
      <c r="DG20" s="456">
        <f t="shared" si="4"/>
        <v>5129.5882799999999</v>
      </c>
      <c r="DH20" s="456">
        <f t="shared" si="4"/>
        <v>3047.15787</v>
      </c>
    </row>
    <row r="21" spans="1:112" ht="25.5" customHeight="1" x14ac:dyDescent="0.25">
      <c r="A21" s="54" t="s">
        <v>328</v>
      </c>
      <c r="B21" s="457">
        <f t="shared" si="0"/>
        <v>774814493.9000001</v>
      </c>
      <c r="C21" s="458">
        <f t="shared" si="1"/>
        <v>313836338.36000001</v>
      </c>
      <c r="D21" s="1048">
        <f t="shared" si="5"/>
        <v>209151450.18000001</v>
      </c>
      <c r="E21" s="1049">
        <f t="shared" si="6"/>
        <v>0</v>
      </c>
      <c r="F21" s="445">
        <f>'Проверочная  таблица'!BT24+'Проверочная  таблица'!BV24</f>
        <v>0</v>
      </c>
      <c r="G21" s="446">
        <f>'Проверочная  таблица'!BU24+'Проверочная  таблица'!BW24</f>
        <v>0</v>
      </c>
      <c r="H21" s="446">
        <f>'Проверочная  таблица'!CC24</f>
        <v>188669450.18000001</v>
      </c>
      <c r="I21" s="447">
        <f>'Проверочная  таблица'!CF24</f>
        <v>0</v>
      </c>
      <c r="J21" s="446">
        <f>'Проверочная  таблица'!CD24</f>
        <v>20482000</v>
      </c>
      <c r="K21" s="447">
        <f>'Проверочная  таблица'!CG24</f>
        <v>0</v>
      </c>
      <c r="L21" s="77">
        <f t="shared" si="2"/>
        <v>565663043.72000003</v>
      </c>
      <c r="M21" s="78">
        <f t="shared" si="3"/>
        <v>313836338.36000001</v>
      </c>
      <c r="N21" s="71">
        <f t="shared" si="7"/>
        <v>527256858.88999999</v>
      </c>
      <c r="O21" s="71">
        <f t="shared" si="8"/>
        <v>288454834.94</v>
      </c>
      <c r="P21" s="78">
        <f>'Проверочная  таблица'!CX24</f>
        <v>0</v>
      </c>
      <c r="Q21" s="78">
        <f>'Проверочная  таблица'!DE24</f>
        <v>0</v>
      </c>
      <c r="R21" s="78">
        <f>'Проверочная  таблица'!CZ24+'Проверочная  таблица'!DL24</f>
        <v>0</v>
      </c>
      <c r="S21" s="73">
        <f>'Проверочная  таблица'!DG24+'Проверочная  таблица'!DO24</f>
        <v>0</v>
      </c>
      <c r="T21" s="77">
        <f>'Проверочная  таблица'!DB24</f>
        <v>0</v>
      </c>
      <c r="U21" s="73">
        <f>'Проверочная  таблица'!DI24</f>
        <v>0</v>
      </c>
      <c r="V21" s="79">
        <f>'Проверочная  таблица'!ED24</f>
        <v>0</v>
      </c>
      <c r="W21" s="78">
        <f>'Проверочная  таблица'!EG24</f>
        <v>0</v>
      </c>
      <c r="X21" s="78">
        <f>'Проверочная  таблица'!EJ24</f>
        <v>0</v>
      </c>
      <c r="Y21" s="73">
        <f>'Проверочная  таблица'!EM24</f>
        <v>0</v>
      </c>
      <c r="Z21" s="73">
        <f>'Проверочная  таблица'!EQ24</f>
        <v>0</v>
      </c>
      <c r="AA21" s="73">
        <f>'Проверочная  таблица'!EU24</f>
        <v>0</v>
      </c>
      <c r="AB21" s="78">
        <f>'Проверочная  таблица'!EX24</f>
        <v>0</v>
      </c>
      <c r="AC21" s="73">
        <f>'Проверочная  таблица'!FA24</f>
        <v>0</v>
      </c>
      <c r="AD21" s="77">
        <f>'Проверочная  таблица'!FD24+'Проверочная  таблица'!FJ24</f>
        <v>0</v>
      </c>
      <c r="AE21" s="78">
        <f>'Проверочная  таблица'!FG24+'Проверочная  таблица'!FM24</f>
        <v>0</v>
      </c>
      <c r="AF21" s="78">
        <f>'Проверочная  таблица'!GB24</f>
        <v>0</v>
      </c>
      <c r="AG21" s="78">
        <f>'Проверочная  таблица'!GE24</f>
        <v>0</v>
      </c>
      <c r="AH21" s="78">
        <f>'Проверочная  таблица'!GH24+'Проверочная  таблица'!GN24</f>
        <v>77044000</v>
      </c>
      <c r="AI21" s="73">
        <f>'Проверочная  таблица'!GK24+'Проверочная  таблица'!GQ24</f>
        <v>0</v>
      </c>
      <c r="AJ21" s="79">
        <f>'Проверочная  таблица'!GX24</f>
        <v>0</v>
      </c>
      <c r="AK21" s="78">
        <f>'Проверочная  таблица'!HB24</f>
        <v>0</v>
      </c>
      <c r="AL21" s="78">
        <f>'Проверочная  таблица'!HN24</f>
        <v>0</v>
      </c>
      <c r="AM21" s="78">
        <f>'Проверочная  таблица'!HQ24</f>
        <v>0</v>
      </c>
      <c r="AN21" s="78">
        <f>'Проверочная  таблица'!HT24+'Проверочная  таблица'!HZ24</f>
        <v>821052.83999999985</v>
      </c>
      <c r="AO21" s="78">
        <f>'Проверочная  таблица'!HW24+'Проверочная  таблица'!IC24</f>
        <v>0</v>
      </c>
      <c r="AP21" s="78">
        <f>'Проверочная  таблица'!IR24+'Проверочная  таблица'!IX24</f>
        <v>0</v>
      </c>
      <c r="AQ21" s="73">
        <f>'Проверочная  таблица'!IU24+'Проверочная  таблица'!JA24</f>
        <v>0</v>
      </c>
      <c r="AR21" s="77">
        <f>'Проверочная  таблица'!JH24</f>
        <v>0</v>
      </c>
      <c r="AS21" s="73">
        <f>'Проверочная  таблица'!JK24</f>
        <v>0</v>
      </c>
      <c r="AT21" s="77">
        <f>'Проверочная  таблица'!JN24</f>
        <v>0</v>
      </c>
      <c r="AU21" s="73">
        <f>'Проверочная  таблица'!JQ24</f>
        <v>0</v>
      </c>
      <c r="AV21" s="77">
        <f>'Проверочная  таблица'!JT24+'Проверочная  таблица'!JZ24</f>
        <v>0</v>
      </c>
      <c r="AW21" s="78">
        <f>'Проверочная  таблица'!JW24+'Проверочная  таблица'!KC24</f>
        <v>0</v>
      </c>
      <c r="AX21" s="78">
        <f>'Проверочная  таблица'!KR24+'Проверочная  таблица'!LB24</f>
        <v>317539.19</v>
      </c>
      <c r="AY21" s="73">
        <f>'Проверочная  таблица'!LG24+'Проверочная  таблица'!KW24</f>
        <v>0</v>
      </c>
      <c r="AZ21" s="78">
        <f>'Проверочная  таблица'!KT24+'Проверочная  таблица'!LD24</f>
        <v>56014.17</v>
      </c>
      <c r="BA21" s="73">
        <f>'Проверочная  таблица'!LI24+'Проверочная  таблица'!KY24</f>
        <v>0</v>
      </c>
      <c r="BB21" s="77">
        <f>'Проверочная  таблица'!LY24+'Проверочная  таблица'!MG24</f>
        <v>0</v>
      </c>
      <c r="BC21" s="73">
        <f>'Проверочная  таблица'!MK24+'Проверочная  таблица'!MC24</f>
        <v>0</v>
      </c>
      <c r="BD21" s="78">
        <f>'Проверочная  таблица'!NF24</f>
        <v>0</v>
      </c>
      <c r="BE21" s="73">
        <f>'Проверочная  таблица'!NN24</f>
        <v>0</v>
      </c>
      <c r="BF21" s="78">
        <f>'Проверочная  таблица'!ND24</f>
        <v>0</v>
      </c>
      <c r="BG21" s="73">
        <f>'Проверочная  таблица'!NL24</f>
        <v>0</v>
      </c>
      <c r="BH21" s="77">
        <f>'Проверочная  таблица'!NI24+'Проверочная  таблица'!NT24</f>
        <v>235625.78</v>
      </c>
      <c r="BI21" s="78">
        <f>'Проверочная  таблица'!NW24+'Проверочная  таблица'!NQ24</f>
        <v>235625.78</v>
      </c>
      <c r="BJ21" s="73">
        <f>'Проверочная  таблица'!OL24</f>
        <v>0</v>
      </c>
      <c r="BK21" s="73">
        <f>'Проверочная  таблица'!OP24</f>
        <v>0</v>
      </c>
      <c r="BL21" s="77">
        <f>'Проверочная  таблица'!OT24+'Проверочная  таблица'!PB24</f>
        <v>30953240.300000001</v>
      </c>
      <c r="BM21" s="78">
        <f>'Проверочная  таблица'!OX24+'Проверочная  таблица'!PF24</f>
        <v>11668548.42</v>
      </c>
      <c r="BN21" s="78">
        <f>'Проверочная  таблица'!QJ24+'Проверочная  таблица'!PZ24</f>
        <v>0</v>
      </c>
      <c r="BO21" s="73">
        <f>'Проверочная  таблица'!QM24+'Проверочная  таблица'!QE24</f>
        <v>0</v>
      </c>
      <c r="BP21" s="78"/>
      <c r="BQ21" s="73"/>
      <c r="BR21" s="77">
        <f>'Проверочная  таблица'!RB24</f>
        <v>0</v>
      </c>
      <c r="BS21" s="73">
        <f>'Проверочная  таблица'!RE24</f>
        <v>0</v>
      </c>
      <c r="BT21" s="77">
        <f>'Проверочная  таблица'!RH24+'Проверочная  таблица'!RN24</f>
        <v>0</v>
      </c>
      <c r="BU21" s="73">
        <f>'Проверочная  таблица'!RK24+'Проверочная  таблица'!RQ24</f>
        <v>0</v>
      </c>
      <c r="BV21" s="77">
        <f>'Проверочная  таблица'!SF24</f>
        <v>0</v>
      </c>
      <c r="BW21" s="78">
        <f>'Проверочная  таблица'!SI24</f>
        <v>0</v>
      </c>
      <c r="BX21" s="78">
        <f>'Проверочная  таблица'!SM24</f>
        <v>0</v>
      </c>
      <c r="BY21" s="73">
        <f>'Проверочная  таблица'!SQ24</f>
        <v>0</v>
      </c>
      <c r="BZ21" s="77">
        <f>'Проверочная  таблица'!ST24</f>
        <v>0</v>
      </c>
      <c r="CA21" s="78">
        <f>'Проверочная  таблица'!SW24</f>
        <v>0</v>
      </c>
      <c r="CB21" s="78">
        <f>'Проверочная  таблица'!TN24+'Проверочная  таблица'!SZ24</f>
        <v>21497286.609999999</v>
      </c>
      <c r="CC21" s="73">
        <f>'Проверочная  таблица'!TU24+'Проверочная  таблица'!TG24</f>
        <v>6449185.9900000002</v>
      </c>
      <c r="CD21" s="77">
        <f>'Проверочная  таблица'!TB24+'Проверочная  таблица'!TP24</f>
        <v>0</v>
      </c>
      <c r="CE21" s="78">
        <f>'Проверочная  таблица'!TW24+'Проверочная  таблица'!TI24</f>
        <v>0</v>
      </c>
      <c r="CF21" s="78">
        <f>'Проверочная  таблица'!TR24+'Проверочная  таблица'!TD24</f>
        <v>396332100</v>
      </c>
      <c r="CG21" s="73">
        <f>'Проверочная  таблица'!TY24+'Проверочная  таблица'!TK24</f>
        <v>270101474.75</v>
      </c>
      <c r="CH21" s="78">
        <f t="shared" si="9"/>
        <v>17109295.009999998</v>
      </c>
      <c r="CI21" s="78">
        <f t="shared" si="9"/>
        <v>8717619.4499999993</v>
      </c>
      <c r="CJ21" s="73">
        <f>'Проверочная  таблица'!VV24+'Проверочная  таблица'!VT24</f>
        <v>2813500</v>
      </c>
      <c r="CK21" s="73">
        <f>'Проверочная  таблица'!VW24+'Проверочная  таблица'!VU24</f>
        <v>885159.52999999991</v>
      </c>
      <c r="CL21" s="79">
        <f>'Проверочная  таблица'!VX24</f>
        <v>0</v>
      </c>
      <c r="CM21" s="79">
        <f>'Проверочная  таблица'!VY24</f>
        <v>0</v>
      </c>
      <c r="CN21" s="461">
        <f>'Проверочная  таблица'!VZ24</f>
        <v>0</v>
      </c>
      <c r="CO21" s="462">
        <f>'Проверочная  таблица'!WA24</f>
        <v>0</v>
      </c>
      <c r="CP21" s="463">
        <f>'Проверочная  таблица'!WB24</f>
        <v>0</v>
      </c>
      <c r="CQ21" s="462">
        <f>'Проверочная  таблица'!WC24</f>
        <v>0</v>
      </c>
      <c r="CR21" s="463">
        <f>'Проверочная  таблица'!WD24</f>
        <v>0</v>
      </c>
      <c r="CS21" s="461">
        <f>'Проверочная  таблица'!WE24</f>
        <v>0</v>
      </c>
      <c r="CT21" s="78">
        <f>'Проверочная  таблица'!WH24</f>
        <v>13695795.01</v>
      </c>
      <c r="CU21" s="78">
        <f>'Проверочная  таблица'!WK24</f>
        <v>7608775.0099999998</v>
      </c>
      <c r="CV21" s="78">
        <f>'Проверочная  таблица'!WN24</f>
        <v>600000</v>
      </c>
      <c r="CW21" s="78">
        <f>'Проверочная  таблица'!WQ24</f>
        <v>223684.91</v>
      </c>
      <c r="CX21" s="78">
        <f t="shared" si="10"/>
        <v>21296889.82</v>
      </c>
      <c r="CY21" s="73">
        <f t="shared" si="10"/>
        <v>16663883.970000001</v>
      </c>
      <c r="CZ21" s="77">
        <f>'Проверочная  таблица'!WV24</f>
        <v>0</v>
      </c>
      <c r="DA21" s="73">
        <f>'Проверочная  таблица'!WY24</f>
        <v>0</v>
      </c>
      <c r="DB21" s="77">
        <f>'Проверочная  таблица'!XB24</f>
        <v>2561381.8199999998</v>
      </c>
      <c r="DC21" s="73">
        <f>'Проверочная  таблица'!XE24</f>
        <v>1280690.97</v>
      </c>
      <c r="DD21" s="77">
        <f>'Проверочная  таблица'!XH24</f>
        <v>18735508</v>
      </c>
      <c r="DE21" s="73">
        <f>'Проверочная  таблица'!XK24</f>
        <v>15383193</v>
      </c>
      <c r="DG21" s="456">
        <f t="shared" si="4"/>
        <v>14295.795009999998</v>
      </c>
      <c r="DH21" s="456">
        <f t="shared" si="4"/>
        <v>7832.4599199999993</v>
      </c>
    </row>
    <row r="22" spans="1:112" ht="25.5" customHeight="1" x14ac:dyDescent="0.25">
      <c r="A22" s="70" t="s">
        <v>329</v>
      </c>
      <c r="B22" s="457">
        <f t="shared" si="0"/>
        <v>60952432.43</v>
      </c>
      <c r="C22" s="458">
        <f t="shared" si="1"/>
        <v>12909493.359999999</v>
      </c>
      <c r="D22" s="1048">
        <f t="shared" si="5"/>
        <v>31469344.07</v>
      </c>
      <c r="E22" s="1049">
        <f t="shared" si="6"/>
        <v>454000</v>
      </c>
      <c r="F22" s="445">
        <f>'Проверочная  таблица'!BT25+'Проверочная  таблица'!BV25</f>
        <v>0</v>
      </c>
      <c r="G22" s="446">
        <f>'Проверочная  таблица'!BU25+'Проверочная  таблица'!BW25</f>
        <v>0</v>
      </c>
      <c r="H22" s="446">
        <f>'Проверочная  таблица'!CC25</f>
        <v>31015344.07</v>
      </c>
      <c r="I22" s="447">
        <f>'Проверочная  таблица'!CF25</f>
        <v>0</v>
      </c>
      <c r="J22" s="446">
        <f>'Проверочная  таблица'!CD25</f>
        <v>454000</v>
      </c>
      <c r="K22" s="447">
        <f>'Проверочная  таблица'!CG25</f>
        <v>454000</v>
      </c>
      <c r="L22" s="77">
        <f t="shared" si="2"/>
        <v>29483088.359999999</v>
      </c>
      <c r="M22" s="78">
        <f t="shared" si="3"/>
        <v>12455493.359999999</v>
      </c>
      <c r="N22" s="71">
        <f t="shared" si="7"/>
        <v>10323676.49</v>
      </c>
      <c r="O22" s="71">
        <f t="shared" si="8"/>
        <v>106061.95</v>
      </c>
      <c r="P22" s="78">
        <f>'Проверочная  таблица'!CX25</f>
        <v>0</v>
      </c>
      <c r="Q22" s="78">
        <f>'Проверочная  таблица'!DE25</f>
        <v>0</v>
      </c>
      <c r="R22" s="78">
        <f>'Проверочная  таблица'!CZ25+'Проверочная  таблица'!DL25</f>
        <v>0</v>
      </c>
      <c r="S22" s="73">
        <f>'Проверочная  таблица'!DG25+'Проверочная  таблица'!DO25</f>
        <v>0</v>
      </c>
      <c r="T22" s="77">
        <f>'Проверочная  таблица'!DB25</f>
        <v>0</v>
      </c>
      <c r="U22" s="73">
        <f>'Проверочная  таблица'!DI25</f>
        <v>0</v>
      </c>
      <c r="V22" s="79">
        <f>'Проверочная  таблица'!ED25</f>
        <v>0</v>
      </c>
      <c r="W22" s="78">
        <f>'Проверочная  таблица'!EG25</f>
        <v>0</v>
      </c>
      <c r="X22" s="78">
        <f>'Проверочная  таблица'!EJ25</f>
        <v>0</v>
      </c>
      <c r="Y22" s="73">
        <f>'Проверочная  таблица'!EM25</f>
        <v>0</v>
      </c>
      <c r="Z22" s="73">
        <f>'Проверочная  таблица'!EQ25</f>
        <v>0</v>
      </c>
      <c r="AA22" s="73">
        <f>'Проверочная  таблица'!EU25</f>
        <v>0</v>
      </c>
      <c r="AB22" s="78">
        <f>'Проверочная  таблица'!EX25</f>
        <v>0</v>
      </c>
      <c r="AC22" s="73">
        <f>'Проверочная  таблица'!FA25</f>
        <v>0</v>
      </c>
      <c r="AD22" s="77">
        <f>'Проверочная  таблица'!FD25+'Проверочная  таблица'!FJ25</f>
        <v>0</v>
      </c>
      <c r="AE22" s="78">
        <f>'Проверочная  таблица'!FG25+'Проверочная  таблица'!FM25</f>
        <v>0</v>
      </c>
      <c r="AF22" s="78">
        <f>'Проверочная  таблица'!GB25</f>
        <v>0</v>
      </c>
      <c r="AG22" s="78">
        <f>'Проверочная  таблица'!GE25</f>
        <v>0</v>
      </c>
      <c r="AH22" s="78">
        <f>'Проверочная  таблица'!GH25+'Проверочная  таблица'!GN25</f>
        <v>0</v>
      </c>
      <c r="AI22" s="73">
        <f>'Проверочная  таблица'!GK25+'Проверочная  таблица'!GQ25</f>
        <v>0</v>
      </c>
      <c r="AJ22" s="79">
        <f>'Проверочная  таблица'!GX25</f>
        <v>0</v>
      </c>
      <c r="AK22" s="78">
        <f>'Проверочная  таблица'!HB25</f>
        <v>0</v>
      </c>
      <c r="AL22" s="78">
        <f>'Проверочная  таблица'!HN25</f>
        <v>0</v>
      </c>
      <c r="AM22" s="78">
        <f>'Проверочная  таблица'!HQ25</f>
        <v>0</v>
      </c>
      <c r="AN22" s="78">
        <f>'Проверочная  таблица'!HT25+'Проверочная  таблица'!HZ25</f>
        <v>0</v>
      </c>
      <c r="AO22" s="78">
        <f>'Проверочная  таблица'!HW25+'Проверочная  таблица'!IC25</f>
        <v>0</v>
      </c>
      <c r="AP22" s="78">
        <f>'Проверочная  таблица'!IR25+'Проверочная  таблица'!IX25</f>
        <v>0</v>
      </c>
      <c r="AQ22" s="73">
        <f>'Проверочная  таблица'!IU25+'Проверочная  таблица'!JA25</f>
        <v>0</v>
      </c>
      <c r="AR22" s="77">
        <f>'Проверочная  таблица'!JH25</f>
        <v>0</v>
      </c>
      <c r="AS22" s="73">
        <f>'Проверочная  таблица'!JK25</f>
        <v>0</v>
      </c>
      <c r="AT22" s="77">
        <f>'Проверочная  таблица'!JN25</f>
        <v>0</v>
      </c>
      <c r="AU22" s="73">
        <f>'Проверочная  таблица'!JQ25</f>
        <v>0</v>
      </c>
      <c r="AV22" s="77">
        <f>'Проверочная  таблица'!JT25+'Проверочная  таблица'!JZ25</f>
        <v>0</v>
      </c>
      <c r="AW22" s="78">
        <f>'Проверочная  таблица'!JW25+'Проверочная  таблица'!KC25</f>
        <v>0</v>
      </c>
      <c r="AX22" s="78">
        <f>'Проверочная  таблица'!KR25+'Проверочная  таблица'!LB25</f>
        <v>354339.63</v>
      </c>
      <c r="AY22" s="73">
        <f>'Проверочная  таблица'!LG25+'Проверочная  таблица'!KW25</f>
        <v>0</v>
      </c>
      <c r="AZ22" s="78">
        <f>'Проверочная  таблица'!KT25+'Проверочная  таблица'!LD25</f>
        <v>77443.520000000004</v>
      </c>
      <c r="BA22" s="73">
        <f>'Проверочная  таблица'!LI25+'Проверочная  таблица'!KY25</f>
        <v>0</v>
      </c>
      <c r="BB22" s="77">
        <f>'Проверочная  таблица'!LY25+'Проверочная  таблица'!MG25</f>
        <v>0</v>
      </c>
      <c r="BC22" s="73">
        <f>'Проверочная  таблица'!MK25+'Проверочная  таблица'!MC25</f>
        <v>0</v>
      </c>
      <c r="BD22" s="78">
        <f>'Проверочная  таблица'!NF25</f>
        <v>0</v>
      </c>
      <c r="BE22" s="73">
        <f>'Проверочная  таблица'!NN25</f>
        <v>0</v>
      </c>
      <c r="BF22" s="78">
        <f>'Проверочная  таблица'!ND25</f>
        <v>0</v>
      </c>
      <c r="BG22" s="73">
        <f>'Проверочная  таблица'!NL25</f>
        <v>0</v>
      </c>
      <c r="BH22" s="77">
        <f>'Проверочная  таблица'!NI25+'Проверочная  таблица'!NT25</f>
        <v>106061.95</v>
      </c>
      <c r="BI22" s="78">
        <f>'Проверочная  таблица'!NW25+'Проверочная  таблица'!NQ25</f>
        <v>106061.95</v>
      </c>
      <c r="BJ22" s="73">
        <f>'Проверочная  таблица'!OL25</f>
        <v>0</v>
      </c>
      <c r="BK22" s="73">
        <f>'Проверочная  таблица'!OP25</f>
        <v>0</v>
      </c>
      <c r="BL22" s="77">
        <f>'Проверочная  таблица'!OT25+'Проверочная  таблица'!PB25</f>
        <v>9785831.3900000006</v>
      </c>
      <c r="BM22" s="78">
        <f>'Проверочная  таблица'!OX25+'Проверочная  таблица'!PF25</f>
        <v>0</v>
      </c>
      <c r="BN22" s="78">
        <f>'Проверочная  таблица'!QJ25+'Проверочная  таблица'!PZ25</f>
        <v>0</v>
      </c>
      <c r="BO22" s="73">
        <f>'Проверочная  таблица'!QM25+'Проверочная  таблица'!QE25</f>
        <v>0</v>
      </c>
      <c r="BP22" s="78"/>
      <c r="BQ22" s="73"/>
      <c r="BR22" s="77">
        <f>'Проверочная  таблица'!RB25</f>
        <v>0</v>
      </c>
      <c r="BS22" s="73">
        <f>'Проверочная  таблица'!RE25</f>
        <v>0</v>
      </c>
      <c r="BT22" s="77">
        <f>'Проверочная  таблица'!RH25+'Проверочная  таблица'!RN25</f>
        <v>0</v>
      </c>
      <c r="BU22" s="73">
        <f>'Проверочная  таблица'!RK25+'Проверочная  таблица'!RQ25</f>
        <v>0</v>
      </c>
      <c r="BV22" s="77">
        <f>'Проверочная  таблица'!SF25</f>
        <v>0</v>
      </c>
      <c r="BW22" s="78">
        <f>'Проверочная  таблица'!SI25</f>
        <v>0</v>
      </c>
      <c r="BX22" s="78">
        <f>'Проверочная  таблица'!SM25</f>
        <v>0</v>
      </c>
      <c r="BY22" s="73">
        <f>'Проверочная  таблица'!SQ25</f>
        <v>0</v>
      </c>
      <c r="BZ22" s="77">
        <f>'Проверочная  таблица'!ST25</f>
        <v>0</v>
      </c>
      <c r="CA22" s="78">
        <f>'Проверочная  таблица'!SW25</f>
        <v>0</v>
      </c>
      <c r="CB22" s="78">
        <f>'Проверочная  таблица'!TN25+'Проверочная  таблица'!SZ25</f>
        <v>0</v>
      </c>
      <c r="CC22" s="73">
        <f>'Проверочная  таблица'!TU25+'Проверочная  таблица'!TG25</f>
        <v>0</v>
      </c>
      <c r="CD22" s="77">
        <f>'Проверочная  таблица'!TB25+'Проверочная  таблица'!TP25</f>
        <v>0</v>
      </c>
      <c r="CE22" s="78">
        <f>'Проверочная  таблица'!TW25+'Проверочная  таблица'!TI25</f>
        <v>0</v>
      </c>
      <c r="CF22" s="78">
        <f>'Проверочная  таблица'!TR25+'Проверочная  таблица'!TD25</f>
        <v>0</v>
      </c>
      <c r="CG22" s="73">
        <f>'Проверочная  таблица'!TY25+'Проверочная  таблица'!TK25</f>
        <v>0</v>
      </c>
      <c r="CH22" s="78">
        <f t="shared" si="9"/>
        <v>7193626.96</v>
      </c>
      <c r="CI22" s="78">
        <f t="shared" si="9"/>
        <v>3595061.72</v>
      </c>
      <c r="CJ22" s="73">
        <f>'Проверочная  таблица'!VV25+'Проверочная  таблица'!VT25</f>
        <v>1594500</v>
      </c>
      <c r="CK22" s="73">
        <f>'Проверочная  таблица'!VW25+'Проверочная  таблица'!VU25</f>
        <v>604108.85</v>
      </c>
      <c r="CL22" s="79">
        <f>'Проверочная  таблица'!VX25</f>
        <v>0</v>
      </c>
      <c r="CM22" s="79">
        <f>'Проверочная  таблица'!VY25</f>
        <v>0</v>
      </c>
      <c r="CN22" s="461">
        <f>'Проверочная  таблица'!VZ25</f>
        <v>0</v>
      </c>
      <c r="CO22" s="462">
        <f>'Проверочная  таблица'!WA25</f>
        <v>0</v>
      </c>
      <c r="CP22" s="463">
        <f>'Проверочная  таблица'!WB25</f>
        <v>0</v>
      </c>
      <c r="CQ22" s="462">
        <f>'Проверочная  таблица'!WC25</f>
        <v>0</v>
      </c>
      <c r="CR22" s="463">
        <f>'Проверочная  таблица'!WD25</f>
        <v>0</v>
      </c>
      <c r="CS22" s="461">
        <f>'Проверочная  таблица'!WE25</f>
        <v>0</v>
      </c>
      <c r="CT22" s="78">
        <f>'Проверочная  таблица'!WH25</f>
        <v>4819126.96</v>
      </c>
      <c r="CU22" s="78">
        <f>'Проверочная  таблица'!WK25</f>
        <v>2575741.9900000002</v>
      </c>
      <c r="CV22" s="78">
        <f>'Проверочная  таблица'!WN25</f>
        <v>780000</v>
      </c>
      <c r="CW22" s="78">
        <f>'Проверочная  таблица'!WQ25</f>
        <v>415210.88</v>
      </c>
      <c r="CX22" s="78">
        <f t="shared" si="10"/>
        <v>11965784.91</v>
      </c>
      <c r="CY22" s="73">
        <f t="shared" si="10"/>
        <v>8754369.6899999995</v>
      </c>
      <c r="CZ22" s="77">
        <f>'Проверочная  таблица'!WV25</f>
        <v>0</v>
      </c>
      <c r="DA22" s="73">
        <f>'Проверочная  таблица'!WY25</f>
        <v>0</v>
      </c>
      <c r="DB22" s="77">
        <f>'Проверочная  таблица'!XB25</f>
        <v>1280690.9099999999</v>
      </c>
      <c r="DC22" s="73">
        <f>'Проверочная  таблица'!XE25</f>
        <v>747069.69</v>
      </c>
      <c r="DD22" s="77">
        <f>'Проверочная  таблица'!XH25</f>
        <v>10685094</v>
      </c>
      <c r="DE22" s="73">
        <f>'Проверочная  таблица'!XK25</f>
        <v>8007300</v>
      </c>
      <c r="DG22" s="456">
        <f t="shared" si="4"/>
        <v>5599.1269599999996</v>
      </c>
      <c r="DH22" s="456">
        <f t="shared" si="4"/>
        <v>2990.9528700000001</v>
      </c>
    </row>
    <row r="23" spans="1:112" ht="25.5" customHeight="1" x14ac:dyDescent="0.25">
      <c r="A23" s="54" t="s">
        <v>330</v>
      </c>
      <c r="B23" s="457">
        <f t="shared" si="0"/>
        <v>558596282</v>
      </c>
      <c r="C23" s="458">
        <f t="shared" si="1"/>
        <v>133393075.31999999</v>
      </c>
      <c r="D23" s="1048">
        <f t="shared" si="5"/>
        <v>198119482.24000001</v>
      </c>
      <c r="E23" s="1049">
        <f t="shared" si="6"/>
        <v>0</v>
      </c>
      <c r="F23" s="445">
        <f>'Проверочная  таблица'!BT26+'Проверочная  таблица'!BV26</f>
        <v>0</v>
      </c>
      <c r="G23" s="446">
        <f>'Проверочная  таблица'!BU26+'Проверочная  таблица'!BW26</f>
        <v>0</v>
      </c>
      <c r="H23" s="446">
        <f>'Проверочная  таблица'!CC26</f>
        <v>198119482.24000001</v>
      </c>
      <c r="I23" s="447">
        <f>'Проверочная  таблица'!CF26</f>
        <v>0</v>
      </c>
      <c r="J23" s="446">
        <f>'Проверочная  таблица'!CD26</f>
        <v>0</v>
      </c>
      <c r="K23" s="447">
        <f>'Проверочная  таблица'!CG26</f>
        <v>0</v>
      </c>
      <c r="L23" s="77">
        <f t="shared" si="2"/>
        <v>360476799.75999999</v>
      </c>
      <c r="M23" s="78">
        <f t="shared" si="3"/>
        <v>133393075.31999999</v>
      </c>
      <c r="N23" s="71">
        <f t="shared" si="7"/>
        <v>308408636.44</v>
      </c>
      <c r="O23" s="71">
        <f t="shared" si="8"/>
        <v>92036715.569999993</v>
      </c>
      <c r="P23" s="78">
        <f>'Проверочная  таблица'!CX26</f>
        <v>0</v>
      </c>
      <c r="Q23" s="78">
        <f>'Проверочная  таблица'!DE26</f>
        <v>0</v>
      </c>
      <c r="R23" s="78">
        <f>'Проверочная  таблица'!CZ26+'Проверочная  таблица'!DL26</f>
        <v>275500000</v>
      </c>
      <c r="S23" s="73">
        <f>'Проверочная  таблица'!DG26+'Проверочная  таблица'!DO26</f>
        <v>82871028.709999993</v>
      </c>
      <c r="T23" s="77">
        <f>'Проверочная  таблица'!DB26</f>
        <v>0</v>
      </c>
      <c r="U23" s="73">
        <f>'Проверочная  таблица'!DI26</f>
        <v>0</v>
      </c>
      <c r="V23" s="79">
        <f>'Проверочная  таблица'!ED26</f>
        <v>0</v>
      </c>
      <c r="W23" s="78">
        <f>'Проверочная  таблица'!EG26</f>
        <v>0</v>
      </c>
      <c r="X23" s="78">
        <f>'Проверочная  таблица'!EJ26</f>
        <v>0</v>
      </c>
      <c r="Y23" s="73">
        <f>'Проверочная  таблица'!EM26</f>
        <v>0</v>
      </c>
      <c r="Z23" s="73">
        <f>'Проверочная  таблица'!EQ26</f>
        <v>0</v>
      </c>
      <c r="AA23" s="73">
        <f>'Проверочная  таблица'!EU26</f>
        <v>0</v>
      </c>
      <c r="AB23" s="78">
        <f>'Проверочная  таблица'!EX26</f>
        <v>0</v>
      </c>
      <c r="AC23" s="73">
        <f>'Проверочная  таблица'!FA26</f>
        <v>0</v>
      </c>
      <c r="AD23" s="77">
        <f>'Проверочная  таблица'!FD26+'Проверочная  таблица'!FJ26</f>
        <v>0</v>
      </c>
      <c r="AE23" s="78">
        <f>'Проверочная  таблица'!FG26+'Проверочная  таблица'!FM26</f>
        <v>0</v>
      </c>
      <c r="AF23" s="78">
        <f>'Проверочная  таблица'!GB26</f>
        <v>0</v>
      </c>
      <c r="AG23" s="78">
        <f>'Проверочная  таблица'!GE26</f>
        <v>0</v>
      </c>
      <c r="AH23" s="78">
        <f>'Проверочная  таблица'!GH26+'Проверочная  таблица'!GN26</f>
        <v>0</v>
      </c>
      <c r="AI23" s="73">
        <f>'Проверочная  таблица'!GK26+'Проверочная  таблица'!GQ26</f>
        <v>0</v>
      </c>
      <c r="AJ23" s="79">
        <f>'Проверочная  таблица'!GX26</f>
        <v>0</v>
      </c>
      <c r="AK23" s="78">
        <f>'Проверочная  таблица'!HB26</f>
        <v>0</v>
      </c>
      <c r="AL23" s="78">
        <f>'Проверочная  таблица'!HN26</f>
        <v>0</v>
      </c>
      <c r="AM23" s="78">
        <f>'Проверочная  таблица'!HQ26</f>
        <v>0</v>
      </c>
      <c r="AN23" s="78">
        <f>'Проверочная  таблица'!HT26+'Проверочная  таблица'!HZ26</f>
        <v>0</v>
      </c>
      <c r="AO23" s="78">
        <f>'Проверочная  таблица'!HW26+'Проверочная  таблица'!IC26</f>
        <v>0</v>
      </c>
      <c r="AP23" s="78">
        <f>'Проверочная  таблица'!IR26+'Проверочная  таблица'!IX26</f>
        <v>0</v>
      </c>
      <c r="AQ23" s="73">
        <f>'Проверочная  таблица'!IU26+'Проверочная  таблица'!JA26</f>
        <v>0</v>
      </c>
      <c r="AR23" s="77">
        <f>'Проверочная  таблица'!JH26</f>
        <v>0</v>
      </c>
      <c r="AS23" s="73">
        <f>'Проверочная  таблица'!JK26</f>
        <v>0</v>
      </c>
      <c r="AT23" s="77">
        <f>'Проверочная  таблица'!JN26</f>
        <v>0</v>
      </c>
      <c r="AU23" s="73">
        <f>'Проверочная  таблица'!JQ26</f>
        <v>0</v>
      </c>
      <c r="AV23" s="77">
        <f>'Проверочная  таблица'!JT26+'Проверочная  таблица'!JZ26</f>
        <v>0</v>
      </c>
      <c r="AW23" s="78">
        <f>'Проверочная  таблица'!JW26+'Проверочная  таблица'!KC26</f>
        <v>0</v>
      </c>
      <c r="AX23" s="78">
        <f>'Проверочная  таблица'!KR26+'Проверочная  таблица'!LB26</f>
        <v>253019.27</v>
      </c>
      <c r="AY23" s="73">
        <f>'Проверочная  таблица'!LG26+'Проверочная  таблица'!KW26</f>
        <v>0</v>
      </c>
      <c r="AZ23" s="78">
        <f>'Проверочная  таблица'!KT26+'Проверочная  таблица'!LD26</f>
        <v>1517957.86</v>
      </c>
      <c r="BA23" s="73">
        <f>'Проверочная  таблица'!LI26+'Проверочная  таблица'!KY26</f>
        <v>0</v>
      </c>
      <c r="BB23" s="77">
        <f>'Проверочная  таблица'!LY26+'Проверочная  таблица'!MG26</f>
        <v>15412800</v>
      </c>
      <c r="BC23" s="73">
        <f>'Проверочная  таблица'!MK26+'Проверочная  таблица'!MC26</f>
        <v>7875762.2300000004</v>
      </c>
      <c r="BD23" s="78">
        <f>'Проверочная  таблица'!NF26</f>
        <v>0</v>
      </c>
      <c r="BE23" s="73">
        <f>'Проверочная  таблица'!NN26</f>
        <v>0</v>
      </c>
      <c r="BF23" s="78">
        <f>'Проверочная  таблица'!ND26</f>
        <v>0</v>
      </c>
      <c r="BG23" s="73">
        <f>'Проверочная  таблица'!NL26</f>
        <v>0</v>
      </c>
      <c r="BH23" s="77">
        <f>'Проверочная  таблица'!NI26+'Проверочная  таблица'!NT26</f>
        <v>104303.47</v>
      </c>
      <c r="BI23" s="78">
        <f>'Проверочная  таблица'!NW26+'Проверочная  таблица'!NQ26</f>
        <v>104303.47</v>
      </c>
      <c r="BJ23" s="73">
        <f>'Проверочная  таблица'!OL26</f>
        <v>0</v>
      </c>
      <c r="BK23" s="73">
        <f>'Проверочная  таблица'!OP26</f>
        <v>0</v>
      </c>
      <c r="BL23" s="77">
        <f>'Проверочная  таблица'!OT26+'Проверочная  таблица'!PB26</f>
        <v>14087061.09</v>
      </c>
      <c r="BM23" s="78">
        <f>'Проверочная  таблица'!OX26+'Проверочная  таблица'!PF26</f>
        <v>0</v>
      </c>
      <c r="BN23" s="78">
        <f>'Проверочная  таблица'!QJ26+'Проверочная  таблица'!PZ26</f>
        <v>1533494.75</v>
      </c>
      <c r="BO23" s="73">
        <f>'Проверочная  таблица'!QM26+'Проверочная  таблица'!QE26</f>
        <v>1185621.1599999999</v>
      </c>
      <c r="BP23" s="78"/>
      <c r="BQ23" s="73"/>
      <c r="BR23" s="77">
        <f>'Проверочная  таблица'!RB26</f>
        <v>0</v>
      </c>
      <c r="BS23" s="73">
        <f>'Проверочная  таблица'!RE26</f>
        <v>0</v>
      </c>
      <c r="BT23" s="77">
        <f>'Проверочная  таблица'!RH26+'Проверочная  таблица'!RN26</f>
        <v>0</v>
      </c>
      <c r="BU23" s="73">
        <f>'Проверочная  таблица'!RK26+'Проверочная  таблица'!RQ26</f>
        <v>0</v>
      </c>
      <c r="BV23" s="77">
        <f>'Проверочная  таблица'!SF26</f>
        <v>0</v>
      </c>
      <c r="BW23" s="78">
        <f>'Проверочная  таблица'!SI26</f>
        <v>0</v>
      </c>
      <c r="BX23" s="78">
        <f>'Проверочная  таблица'!SM26</f>
        <v>0</v>
      </c>
      <c r="BY23" s="73">
        <f>'Проверочная  таблица'!SQ26</f>
        <v>0</v>
      </c>
      <c r="BZ23" s="77">
        <f>'Проверочная  таблица'!ST26</f>
        <v>0</v>
      </c>
      <c r="CA23" s="78">
        <f>'Проверочная  таблица'!SW26</f>
        <v>0</v>
      </c>
      <c r="CB23" s="78">
        <f>'Проверочная  таблица'!TN26+'Проверочная  таблица'!SZ26</f>
        <v>0</v>
      </c>
      <c r="CC23" s="73">
        <f>'Проверочная  таблица'!TU26+'Проверочная  таблица'!TG26</f>
        <v>0</v>
      </c>
      <c r="CD23" s="77">
        <f>'Проверочная  таблица'!TB26+'Проверочная  таблица'!TP26</f>
        <v>0</v>
      </c>
      <c r="CE23" s="78">
        <f>'Проверочная  таблица'!TW26+'Проверочная  таблица'!TI26</f>
        <v>0</v>
      </c>
      <c r="CF23" s="78">
        <f>'Проверочная  таблица'!TR26+'Проверочная  таблица'!TD26</f>
        <v>0</v>
      </c>
      <c r="CG23" s="73">
        <f>'Проверочная  таблица'!TY26+'Проверочная  таблица'!TK26</f>
        <v>0</v>
      </c>
      <c r="CH23" s="78">
        <f t="shared" si="9"/>
        <v>25428749.140000001</v>
      </c>
      <c r="CI23" s="78">
        <f t="shared" si="9"/>
        <v>16295666.960000001</v>
      </c>
      <c r="CJ23" s="73">
        <f>'Проверочная  таблица'!VV26+'Проверочная  таблица'!VT26</f>
        <v>4907000</v>
      </c>
      <c r="CK23" s="73">
        <f>'Проверочная  таблица'!VW26+'Проверочная  таблица'!VU26</f>
        <v>1773342.0699999998</v>
      </c>
      <c r="CL23" s="79">
        <f>'Проверочная  таблица'!VX26</f>
        <v>0</v>
      </c>
      <c r="CM23" s="79">
        <f>'Проверочная  таблица'!VY26</f>
        <v>0</v>
      </c>
      <c r="CN23" s="461">
        <f>'Проверочная  таблица'!VZ26</f>
        <v>0</v>
      </c>
      <c r="CO23" s="462">
        <f>'Проверочная  таблица'!WA26</f>
        <v>0</v>
      </c>
      <c r="CP23" s="463">
        <f>'Проверочная  таблица'!WB26</f>
        <v>0</v>
      </c>
      <c r="CQ23" s="462">
        <f>'Проверочная  таблица'!WC26</f>
        <v>0</v>
      </c>
      <c r="CR23" s="463">
        <f>'Проверочная  таблица'!WD26</f>
        <v>0</v>
      </c>
      <c r="CS23" s="461">
        <f>'Проверочная  таблица'!WE26</f>
        <v>0</v>
      </c>
      <c r="CT23" s="78">
        <f>'Проверочная  таблица'!WH26</f>
        <v>19616749.140000001</v>
      </c>
      <c r="CU23" s="78">
        <f>'Проверочная  таблица'!WK26</f>
        <v>14128122.5</v>
      </c>
      <c r="CV23" s="78">
        <f>'Проверочная  таблица'!WN26</f>
        <v>905000</v>
      </c>
      <c r="CW23" s="78">
        <f>'Проверочная  таблица'!WQ26</f>
        <v>394202.39</v>
      </c>
      <c r="CX23" s="78">
        <f t="shared" si="10"/>
        <v>26639414.18</v>
      </c>
      <c r="CY23" s="73">
        <f t="shared" si="10"/>
        <v>25060692.789999999</v>
      </c>
      <c r="CZ23" s="77">
        <f>'Проверочная  таблица'!WV26</f>
        <v>0</v>
      </c>
      <c r="DA23" s="73">
        <f>'Проверочная  таблица'!WY26</f>
        <v>0</v>
      </c>
      <c r="DB23" s="77">
        <f>'Проверочная  таблица'!XB26</f>
        <v>3073658.1799999997</v>
      </c>
      <c r="DC23" s="73">
        <f>'Проверочная  таблица'!XE26</f>
        <v>1494936.79</v>
      </c>
      <c r="DD23" s="77">
        <f>'Проверочная  таблица'!XH26</f>
        <v>23565756</v>
      </c>
      <c r="DE23" s="73">
        <f>'Проверочная  таблица'!XK26</f>
        <v>23565756</v>
      </c>
      <c r="DG23" s="456">
        <f t="shared" si="4"/>
        <v>20521.74914</v>
      </c>
      <c r="DH23" s="456">
        <f t="shared" si="4"/>
        <v>14522.32489</v>
      </c>
    </row>
    <row r="24" spans="1:112" ht="25.5" customHeight="1" x14ac:dyDescent="0.25">
      <c r="A24" s="467" t="s">
        <v>331</v>
      </c>
      <c r="B24" s="465">
        <f t="shared" si="0"/>
        <v>53765897.269999996</v>
      </c>
      <c r="C24" s="466">
        <f t="shared" si="1"/>
        <v>12724392.060000001</v>
      </c>
      <c r="D24" s="1048">
        <f t="shared" si="5"/>
        <v>32377641.370000001</v>
      </c>
      <c r="E24" s="1049">
        <f t="shared" si="6"/>
        <v>0</v>
      </c>
      <c r="F24" s="445">
        <f>'Проверочная  таблица'!BT16+'Проверочная  таблица'!BV16</f>
        <v>0</v>
      </c>
      <c r="G24" s="446">
        <f>'Проверочная  таблица'!BU16+'Проверочная  таблица'!BW16</f>
        <v>0</v>
      </c>
      <c r="H24" s="446">
        <f>'Проверочная  таблица'!CC16</f>
        <v>32377641.370000001</v>
      </c>
      <c r="I24" s="447">
        <f>'Проверочная  таблица'!CF16</f>
        <v>0</v>
      </c>
      <c r="J24" s="446">
        <f>'Проверочная  таблица'!CD16</f>
        <v>0</v>
      </c>
      <c r="K24" s="447">
        <f>'Проверочная  таблица'!CG16</f>
        <v>0</v>
      </c>
      <c r="L24" s="77">
        <f t="shared" si="2"/>
        <v>21388255.899999999</v>
      </c>
      <c r="M24" s="78">
        <f t="shared" si="3"/>
        <v>12724392.060000001</v>
      </c>
      <c r="N24" s="71">
        <f t="shared" si="7"/>
        <v>1037915.08</v>
      </c>
      <c r="O24" s="71">
        <f t="shared" si="8"/>
        <v>140354.71</v>
      </c>
      <c r="P24" s="78">
        <f>'Проверочная  таблица'!CX16</f>
        <v>0</v>
      </c>
      <c r="Q24" s="78">
        <f>'Проверочная  таблица'!DE16</f>
        <v>0</v>
      </c>
      <c r="R24" s="78">
        <f>'Проверочная  таблица'!CZ16+'Проверочная  таблица'!DL16</f>
        <v>0</v>
      </c>
      <c r="S24" s="73">
        <f>'Проверочная  таблица'!DG16+'Проверочная  таблица'!DO16</f>
        <v>0</v>
      </c>
      <c r="T24" s="77">
        <f>'Проверочная  таблица'!DB16</f>
        <v>0</v>
      </c>
      <c r="U24" s="73">
        <f>'Проверочная  таблица'!DI16</f>
        <v>0</v>
      </c>
      <c r="V24" s="79">
        <f>'Проверочная  таблица'!ED16</f>
        <v>0</v>
      </c>
      <c r="W24" s="78">
        <f>'Проверочная  таблица'!EG16</f>
        <v>0</v>
      </c>
      <c r="X24" s="78">
        <f>'Проверочная  таблица'!EJ16</f>
        <v>0</v>
      </c>
      <c r="Y24" s="73">
        <f>'Проверочная  таблица'!EM16</f>
        <v>0</v>
      </c>
      <c r="Z24" s="73">
        <f>'Проверочная  таблица'!EQ16</f>
        <v>0</v>
      </c>
      <c r="AA24" s="73">
        <f>'Проверочная  таблица'!EU16</f>
        <v>0</v>
      </c>
      <c r="AB24" s="78">
        <f>'Проверочная  таблица'!EX16</f>
        <v>0</v>
      </c>
      <c r="AC24" s="73">
        <f>'Проверочная  таблица'!FA16</f>
        <v>0</v>
      </c>
      <c r="AD24" s="77">
        <f>'Проверочная  таблица'!FD16+'Проверочная  таблица'!FJ16</f>
        <v>0</v>
      </c>
      <c r="AE24" s="78">
        <f>'Проверочная  таблица'!FG16+'Проверочная  таблица'!FM16</f>
        <v>0</v>
      </c>
      <c r="AF24" s="78">
        <f>'Проверочная  таблица'!GB16</f>
        <v>0</v>
      </c>
      <c r="AG24" s="78">
        <f>'Проверочная  таблица'!GE16</f>
        <v>0</v>
      </c>
      <c r="AH24" s="78">
        <f>'Проверочная  таблица'!GH16+'Проверочная  таблица'!GN16</f>
        <v>0</v>
      </c>
      <c r="AI24" s="73">
        <f>'Проверочная  таблица'!GK16+'Проверочная  таблица'!GQ16</f>
        <v>0</v>
      </c>
      <c r="AJ24" s="79">
        <f>'Проверочная  таблица'!GX16</f>
        <v>0</v>
      </c>
      <c r="AK24" s="78">
        <f>'Проверочная  таблица'!HB16</f>
        <v>0</v>
      </c>
      <c r="AL24" s="78">
        <f>'Проверочная  таблица'!HN16</f>
        <v>0</v>
      </c>
      <c r="AM24" s="78">
        <f>'Проверочная  таблица'!HQ16</f>
        <v>0</v>
      </c>
      <c r="AN24" s="78">
        <f>'Проверочная  таблица'!HT16+'Проверочная  таблица'!HZ16</f>
        <v>0</v>
      </c>
      <c r="AO24" s="78">
        <f>'Проверочная  таблица'!HW16+'Проверочная  таблица'!IC16</f>
        <v>0</v>
      </c>
      <c r="AP24" s="78">
        <f>'Проверочная  таблица'!IR16+'Проверочная  таблица'!IX16</f>
        <v>0</v>
      </c>
      <c r="AQ24" s="73">
        <f>'Проверочная  таблица'!IU16+'Проверочная  таблица'!JA16</f>
        <v>0</v>
      </c>
      <c r="AR24" s="77">
        <f>'Проверочная  таблица'!JH16</f>
        <v>0</v>
      </c>
      <c r="AS24" s="73">
        <f>'Проверочная  таблица'!JK16</f>
        <v>0</v>
      </c>
      <c r="AT24" s="77">
        <f>'Проверочная  таблица'!JN16</f>
        <v>0</v>
      </c>
      <c r="AU24" s="73">
        <f>'Проверочная  таблица'!JQ16</f>
        <v>0</v>
      </c>
      <c r="AV24" s="77">
        <f>'Проверочная  таблица'!JT16+'Проверочная  таблица'!JZ16</f>
        <v>0</v>
      </c>
      <c r="AW24" s="78">
        <f>'Проверочная  таблица'!JW16+'Проверочная  таблица'!KC16</f>
        <v>0</v>
      </c>
      <c r="AX24" s="78">
        <f>'Проверочная  таблица'!KR16+'Проверочная  таблица'!LB16</f>
        <v>876551.08</v>
      </c>
      <c r="AY24" s="73">
        <f>'Проверочная  таблица'!LG16+'Проверочная  таблица'!KW16</f>
        <v>0</v>
      </c>
      <c r="AZ24" s="78">
        <f>'Проверочная  таблица'!KT16+'Проверочная  таблица'!LD16</f>
        <v>21009.29</v>
      </c>
      <c r="BA24" s="73">
        <f>'Проверочная  таблица'!LI16+'Проверочная  таблица'!KY16</f>
        <v>0</v>
      </c>
      <c r="BB24" s="77">
        <f>'Проверочная  таблица'!LY16+'Проверочная  таблица'!MG16</f>
        <v>0</v>
      </c>
      <c r="BC24" s="73">
        <f>'Проверочная  таблица'!MK16+'Проверочная  таблица'!MC16</f>
        <v>0</v>
      </c>
      <c r="BD24" s="78">
        <f>'Проверочная  таблица'!NF16</f>
        <v>0</v>
      </c>
      <c r="BE24" s="73">
        <f>'Проверочная  таблица'!NN16</f>
        <v>0</v>
      </c>
      <c r="BF24" s="78">
        <f>'Проверочная  таблица'!ND16</f>
        <v>0</v>
      </c>
      <c r="BG24" s="73">
        <f>'Проверочная  таблица'!NL16</f>
        <v>0</v>
      </c>
      <c r="BH24" s="77">
        <f>'Проверочная  таблица'!NI16+'Проверочная  таблица'!NT16</f>
        <v>140354.71</v>
      </c>
      <c r="BI24" s="78">
        <f>'Проверочная  таблица'!NW16+'Проверочная  таблица'!NQ16</f>
        <v>140354.71</v>
      </c>
      <c r="BJ24" s="73">
        <f>'Проверочная  таблица'!OL16</f>
        <v>0</v>
      </c>
      <c r="BK24" s="73">
        <f>'Проверочная  таблица'!OP16</f>
        <v>0</v>
      </c>
      <c r="BL24" s="77">
        <f>'Проверочная  таблица'!OT16+'Проверочная  таблица'!PB16</f>
        <v>0</v>
      </c>
      <c r="BM24" s="78">
        <f>'Проверочная  таблица'!OX16+'Проверочная  таблица'!PF16</f>
        <v>0</v>
      </c>
      <c r="BN24" s="78">
        <f>'Проверочная  таблица'!QJ16+'Проверочная  таблица'!PZ16</f>
        <v>0</v>
      </c>
      <c r="BO24" s="73">
        <f>'Проверочная  таблица'!QM16+'Проверочная  таблица'!QE16</f>
        <v>0</v>
      </c>
      <c r="BP24" s="78"/>
      <c r="BQ24" s="73"/>
      <c r="BR24" s="77">
        <f>'Проверочная  таблица'!RB16</f>
        <v>0</v>
      </c>
      <c r="BS24" s="73">
        <f>'Проверочная  таблица'!RE16</f>
        <v>0</v>
      </c>
      <c r="BT24" s="77">
        <f>'Проверочная  таблица'!RH16+'Проверочная  таблица'!RN16</f>
        <v>0</v>
      </c>
      <c r="BU24" s="73">
        <f>'Проверочная  таблица'!RK16+'Проверочная  таблица'!RQ16</f>
        <v>0</v>
      </c>
      <c r="BV24" s="77">
        <f>'Проверочная  таблица'!SF16</f>
        <v>0</v>
      </c>
      <c r="BW24" s="78">
        <f>'Проверочная  таблица'!SI16</f>
        <v>0</v>
      </c>
      <c r="BX24" s="78">
        <f>'Проверочная  таблица'!SM16</f>
        <v>0</v>
      </c>
      <c r="BY24" s="73">
        <f>'Проверочная  таблица'!SQ16</f>
        <v>0</v>
      </c>
      <c r="BZ24" s="77">
        <f>'Проверочная  таблица'!ST16</f>
        <v>0</v>
      </c>
      <c r="CA24" s="78">
        <f>'Проверочная  таблица'!SW16</f>
        <v>0</v>
      </c>
      <c r="CB24" s="78">
        <f>'Проверочная  таблица'!TN16+'Проверочная  таблица'!SZ16</f>
        <v>0</v>
      </c>
      <c r="CC24" s="73">
        <f>'Проверочная  таблица'!TU16+'Проверочная  таблица'!TG16</f>
        <v>0</v>
      </c>
      <c r="CD24" s="77">
        <f>'Проверочная  таблица'!TB16+'Проверочная  таблица'!TP16</f>
        <v>0</v>
      </c>
      <c r="CE24" s="78">
        <f>'Проверочная  таблица'!TW16+'Проверочная  таблица'!TI16</f>
        <v>0</v>
      </c>
      <c r="CF24" s="78">
        <f>'Проверочная  таблица'!TR16+'Проверочная  таблица'!TD16</f>
        <v>0</v>
      </c>
      <c r="CG24" s="73">
        <f>'Проверочная  таблица'!TY16+'Проверочная  таблица'!TK16</f>
        <v>0</v>
      </c>
      <c r="CH24" s="78">
        <f t="shared" si="9"/>
        <v>8311369.9100000001</v>
      </c>
      <c r="CI24" s="78">
        <f t="shared" si="9"/>
        <v>2781751.36</v>
      </c>
      <c r="CJ24" s="73">
        <f>'Проверочная  таблица'!VV16+'Проверочная  таблица'!VT16</f>
        <v>2348100</v>
      </c>
      <c r="CK24" s="73">
        <f>'Проверочная  таблица'!VW16+'Проверочная  таблица'!VU16</f>
        <v>70242.75</v>
      </c>
      <c r="CL24" s="79">
        <f>'Проверочная  таблица'!VX16</f>
        <v>0</v>
      </c>
      <c r="CM24" s="79">
        <f>'Проверочная  таблица'!VY16</f>
        <v>0</v>
      </c>
      <c r="CN24" s="461">
        <f>'Проверочная  таблица'!VZ16</f>
        <v>0</v>
      </c>
      <c r="CO24" s="462">
        <f>'Проверочная  таблица'!WA16</f>
        <v>0</v>
      </c>
      <c r="CP24" s="463">
        <f>'Проверочная  таблица'!WB16</f>
        <v>0</v>
      </c>
      <c r="CQ24" s="462">
        <f>'Проверочная  таблица'!WC16</f>
        <v>0</v>
      </c>
      <c r="CR24" s="463">
        <f>'Проверочная  таблица'!WD16</f>
        <v>0</v>
      </c>
      <c r="CS24" s="461">
        <f>'Проверочная  таблица'!WE16</f>
        <v>0</v>
      </c>
      <c r="CT24" s="78">
        <f>'Проверочная  таблица'!WH16</f>
        <v>5138269.91</v>
      </c>
      <c r="CU24" s="78">
        <f>'Проверочная  таблица'!WK16</f>
        <v>2381032</v>
      </c>
      <c r="CV24" s="78">
        <f>'Проверочная  таблица'!WN16</f>
        <v>825000</v>
      </c>
      <c r="CW24" s="78">
        <f>'Проверочная  таблица'!WQ16</f>
        <v>330476.61</v>
      </c>
      <c r="CX24" s="78">
        <f t="shared" si="10"/>
        <v>12038970.91</v>
      </c>
      <c r="CY24" s="73">
        <f t="shared" si="10"/>
        <v>9802285.9900000002</v>
      </c>
      <c r="CZ24" s="77">
        <f>'Проверочная  таблица'!WV16</f>
        <v>0</v>
      </c>
      <c r="DA24" s="73">
        <f>'Проверочная  таблица'!WY16</f>
        <v>0</v>
      </c>
      <c r="DB24" s="77">
        <f>'Проверочная  таблица'!XB16</f>
        <v>1280690.9099999999</v>
      </c>
      <c r="DC24" s="73">
        <f>'Проверочная  таблица'!XE16</f>
        <v>747060.99</v>
      </c>
      <c r="DD24" s="77">
        <f>'Проверочная  таблица'!XH16</f>
        <v>10758280</v>
      </c>
      <c r="DE24" s="73">
        <f>'Проверочная  таблица'!XK16</f>
        <v>9055225</v>
      </c>
      <c r="DG24" s="456">
        <f t="shared" si="4"/>
        <v>5963.26991</v>
      </c>
      <c r="DH24" s="456">
        <f t="shared" si="4"/>
        <v>2711.5086099999999</v>
      </c>
    </row>
    <row r="25" spans="1:112" ht="25.5" customHeight="1" x14ac:dyDescent="0.25">
      <c r="A25" s="54" t="s">
        <v>332</v>
      </c>
      <c r="B25" s="457">
        <f t="shared" si="0"/>
        <v>52175248.980000004</v>
      </c>
      <c r="C25" s="458">
        <f t="shared" si="1"/>
        <v>17441124.740000002</v>
      </c>
      <c r="D25" s="1048">
        <f t="shared" si="5"/>
        <v>20694920.82</v>
      </c>
      <c r="E25" s="1049">
        <f t="shared" si="6"/>
        <v>0</v>
      </c>
      <c r="F25" s="445">
        <f>'Проверочная  таблица'!BT27+'Проверочная  таблица'!BV27</f>
        <v>0</v>
      </c>
      <c r="G25" s="446">
        <f>'Проверочная  таблица'!BU27+'Проверочная  таблица'!BW27</f>
        <v>0</v>
      </c>
      <c r="H25" s="446">
        <f>'Проверочная  таблица'!CC27</f>
        <v>20694920.82</v>
      </c>
      <c r="I25" s="447">
        <f>'Проверочная  таблица'!CF27</f>
        <v>0</v>
      </c>
      <c r="J25" s="446">
        <f>'Проверочная  таблица'!CD27</f>
        <v>0</v>
      </c>
      <c r="K25" s="447">
        <f>'Проверочная  таблица'!CG27</f>
        <v>0</v>
      </c>
      <c r="L25" s="77">
        <f t="shared" si="2"/>
        <v>31480328.16</v>
      </c>
      <c r="M25" s="78">
        <f t="shared" si="3"/>
        <v>17441124.740000002</v>
      </c>
      <c r="N25" s="71">
        <f t="shared" si="7"/>
        <v>7215885.3600000003</v>
      </c>
      <c r="O25" s="71">
        <f t="shared" si="8"/>
        <v>236012.74</v>
      </c>
      <c r="P25" s="78">
        <f>'Проверочная  таблица'!CX27</f>
        <v>0</v>
      </c>
      <c r="Q25" s="78">
        <f>'Проверочная  таблица'!DE27</f>
        <v>0</v>
      </c>
      <c r="R25" s="78">
        <f>'Проверочная  таблица'!CZ27+'Проверочная  таблица'!DL27</f>
        <v>0</v>
      </c>
      <c r="S25" s="73">
        <f>'Проверочная  таблица'!DG27+'Проверочная  таблица'!DO27</f>
        <v>0</v>
      </c>
      <c r="T25" s="77">
        <f>'Проверочная  таблица'!DB27</f>
        <v>0</v>
      </c>
      <c r="U25" s="73">
        <f>'Проверочная  таблица'!DI27</f>
        <v>0</v>
      </c>
      <c r="V25" s="79">
        <f>'Проверочная  таблица'!ED27</f>
        <v>0</v>
      </c>
      <c r="W25" s="78">
        <f>'Проверочная  таблица'!EG27</f>
        <v>0</v>
      </c>
      <c r="X25" s="78">
        <f>'Проверочная  таблица'!EJ27</f>
        <v>0</v>
      </c>
      <c r="Y25" s="73">
        <f>'Проверочная  таблица'!EM27</f>
        <v>0</v>
      </c>
      <c r="Z25" s="73">
        <f>'Проверочная  таблица'!EQ27</f>
        <v>0</v>
      </c>
      <c r="AA25" s="73">
        <f>'Проверочная  таблица'!EU27</f>
        <v>0</v>
      </c>
      <c r="AB25" s="78">
        <f>'Проверочная  таблица'!EX27</f>
        <v>0</v>
      </c>
      <c r="AC25" s="73">
        <f>'Проверочная  таблица'!FA27</f>
        <v>0</v>
      </c>
      <c r="AD25" s="77">
        <f>'Проверочная  таблица'!FD27+'Проверочная  таблица'!FJ27</f>
        <v>1762206.4</v>
      </c>
      <c r="AE25" s="78">
        <f>'Проверочная  таблица'!FG27+'Проверочная  таблица'!FM27</f>
        <v>85017.64</v>
      </c>
      <c r="AF25" s="78">
        <f>'Проверочная  таблица'!GB27</f>
        <v>0</v>
      </c>
      <c r="AG25" s="78">
        <f>'Проверочная  таблица'!GE27</f>
        <v>0</v>
      </c>
      <c r="AH25" s="78">
        <f>'Проверочная  таблица'!GH27+'Проверочная  таблица'!GN27</f>
        <v>0</v>
      </c>
      <c r="AI25" s="73">
        <f>'Проверочная  таблица'!GK27+'Проверочная  таблица'!GQ27</f>
        <v>0</v>
      </c>
      <c r="AJ25" s="79">
        <f>'Проверочная  таблица'!GX27</f>
        <v>0</v>
      </c>
      <c r="AK25" s="78">
        <f>'Проверочная  таблица'!HB27</f>
        <v>0</v>
      </c>
      <c r="AL25" s="78">
        <f>'Проверочная  таблица'!HN27</f>
        <v>0</v>
      </c>
      <c r="AM25" s="78">
        <f>'Проверочная  таблица'!HQ27</f>
        <v>0</v>
      </c>
      <c r="AN25" s="78">
        <f>'Проверочная  таблица'!HT27+'Проверочная  таблица'!HZ27</f>
        <v>0</v>
      </c>
      <c r="AO25" s="78">
        <f>'Проверочная  таблица'!HW27+'Проверочная  таблица'!IC27</f>
        <v>0</v>
      </c>
      <c r="AP25" s="78">
        <f>'Проверочная  таблица'!IR27+'Проверочная  таблица'!IX27</f>
        <v>0</v>
      </c>
      <c r="AQ25" s="73">
        <f>'Проверочная  таблица'!IU27+'Проверочная  таблица'!JA27</f>
        <v>0</v>
      </c>
      <c r="AR25" s="77">
        <f>'Проверочная  таблица'!JH27</f>
        <v>0</v>
      </c>
      <c r="AS25" s="73">
        <f>'Проверочная  таблица'!JK27</f>
        <v>0</v>
      </c>
      <c r="AT25" s="77">
        <f>'Проверочная  таблица'!JN27</f>
        <v>0</v>
      </c>
      <c r="AU25" s="73">
        <f>'Проверочная  таблица'!JQ27</f>
        <v>0</v>
      </c>
      <c r="AV25" s="77">
        <f>'Проверочная  таблица'!JT27+'Проверочная  таблица'!JZ27</f>
        <v>0</v>
      </c>
      <c r="AW25" s="78">
        <f>'Проверочная  таблица'!JW27+'Проверочная  таблица'!KC27</f>
        <v>0</v>
      </c>
      <c r="AX25" s="78">
        <f>'Проверочная  таблица'!KR27+'Проверочная  таблица'!LB27</f>
        <v>211295.67</v>
      </c>
      <c r="AY25" s="73">
        <f>'Проверочная  таблица'!LG27+'Проверочная  таблица'!KW27</f>
        <v>0</v>
      </c>
      <c r="AZ25" s="78">
        <f>'Проверочная  таблица'!KT27+'Проверочная  таблица'!LD27</f>
        <v>91388.19</v>
      </c>
      <c r="BA25" s="73">
        <f>'Проверочная  таблица'!LI27+'Проверочная  таблица'!KY27</f>
        <v>0</v>
      </c>
      <c r="BB25" s="77">
        <f>'Проверочная  таблица'!LY27+'Проверочная  таблица'!MG27</f>
        <v>0</v>
      </c>
      <c r="BC25" s="73">
        <f>'Проверочная  таблица'!MK27+'Проверочная  таблица'!MC27</f>
        <v>0</v>
      </c>
      <c r="BD25" s="78">
        <f>'Проверочная  таблица'!NF27</f>
        <v>0</v>
      </c>
      <c r="BE25" s="73">
        <f>'Проверочная  таблица'!NN27</f>
        <v>0</v>
      </c>
      <c r="BF25" s="78">
        <f>'Проверочная  таблица'!ND27</f>
        <v>0</v>
      </c>
      <c r="BG25" s="73">
        <f>'Проверочная  таблица'!NL27</f>
        <v>0</v>
      </c>
      <c r="BH25" s="77">
        <f>'Проверочная  таблица'!NI27+'Проверочная  таблица'!NT27</f>
        <v>150995.1</v>
      </c>
      <c r="BI25" s="78">
        <f>'Проверочная  таблица'!NW27+'Проверочная  таблица'!NQ27</f>
        <v>150995.1</v>
      </c>
      <c r="BJ25" s="73">
        <f>'Проверочная  таблица'!OL27</f>
        <v>0</v>
      </c>
      <c r="BK25" s="73">
        <f>'Проверочная  таблица'!OP27</f>
        <v>0</v>
      </c>
      <c r="BL25" s="77">
        <f>'Проверочная  таблица'!OT27+'Проверочная  таблица'!PB27</f>
        <v>5000000</v>
      </c>
      <c r="BM25" s="78">
        <f>'Проверочная  таблица'!OX27+'Проверочная  таблица'!PF27</f>
        <v>0</v>
      </c>
      <c r="BN25" s="78">
        <f>'Проверочная  таблица'!QJ27+'Проверочная  таблица'!PZ27</f>
        <v>0</v>
      </c>
      <c r="BO25" s="73">
        <f>'Проверочная  таблица'!QM27+'Проверочная  таблица'!QE27</f>
        <v>0</v>
      </c>
      <c r="BP25" s="78"/>
      <c r="BQ25" s="73"/>
      <c r="BR25" s="77">
        <f>'Проверочная  таблица'!RB27</f>
        <v>0</v>
      </c>
      <c r="BS25" s="73">
        <f>'Проверочная  таблица'!RE27</f>
        <v>0</v>
      </c>
      <c r="BT25" s="77">
        <f>'Проверочная  таблица'!RH27+'Проверочная  таблица'!RN27</f>
        <v>0</v>
      </c>
      <c r="BU25" s="73">
        <f>'Проверочная  таблица'!RK27+'Проверочная  таблица'!RQ27</f>
        <v>0</v>
      </c>
      <c r="BV25" s="77">
        <f>'Проверочная  таблица'!SF27</f>
        <v>0</v>
      </c>
      <c r="BW25" s="78">
        <f>'Проверочная  таблица'!SI27</f>
        <v>0</v>
      </c>
      <c r="BX25" s="78">
        <f>'Проверочная  таблица'!SM27</f>
        <v>0</v>
      </c>
      <c r="BY25" s="73">
        <f>'Проверочная  таблица'!SQ27</f>
        <v>0</v>
      </c>
      <c r="BZ25" s="77">
        <f>'Проверочная  таблица'!ST27</f>
        <v>0</v>
      </c>
      <c r="CA25" s="78">
        <f>'Проверочная  таблица'!SW27</f>
        <v>0</v>
      </c>
      <c r="CB25" s="78">
        <f>'Проверочная  таблица'!TN27+'Проверочная  таблица'!SZ27</f>
        <v>0</v>
      </c>
      <c r="CC25" s="73">
        <f>'Проверочная  таблица'!TU27+'Проверочная  таблица'!TG27</f>
        <v>0</v>
      </c>
      <c r="CD25" s="77">
        <f>'Проверочная  таблица'!TB27+'Проверочная  таблица'!TP27</f>
        <v>0</v>
      </c>
      <c r="CE25" s="78">
        <f>'Проверочная  таблица'!TW27+'Проверочная  таблица'!TI27</f>
        <v>0</v>
      </c>
      <c r="CF25" s="78">
        <f>'Проверочная  таблица'!TR27+'Проверочная  таблица'!TD27</f>
        <v>0</v>
      </c>
      <c r="CG25" s="73">
        <f>'Проверочная  таблица'!TY27+'Проверочная  таблица'!TK27</f>
        <v>0</v>
      </c>
      <c r="CH25" s="78">
        <f t="shared" si="9"/>
        <v>9858884.5300000012</v>
      </c>
      <c r="CI25" s="78">
        <f t="shared" si="9"/>
        <v>4700248.58</v>
      </c>
      <c r="CJ25" s="73">
        <f>'Проверочная  таблица'!VV27+'Проверочная  таблица'!VT27</f>
        <v>2118700</v>
      </c>
      <c r="CK25" s="73">
        <f>'Проверочная  таблица'!VW27+'Проверочная  таблица'!VU27</f>
        <v>945105.00999999989</v>
      </c>
      <c r="CL25" s="79">
        <f>'Проверочная  таблица'!VX27</f>
        <v>0</v>
      </c>
      <c r="CM25" s="79">
        <f>'Проверочная  таблица'!VY27</f>
        <v>0</v>
      </c>
      <c r="CN25" s="461">
        <f>'Проверочная  таблица'!VZ27</f>
        <v>0</v>
      </c>
      <c r="CO25" s="462">
        <f>'Проверочная  таблица'!WA27</f>
        <v>0</v>
      </c>
      <c r="CP25" s="463">
        <f>'Проверочная  таблица'!WB27</f>
        <v>0</v>
      </c>
      <c r="CQ25" s="462">
        <f>'Проверочная  таблица'!WC27</f>
        <v>0</v>
      </c>
      <c r="CR25" s="463">
        <f>'Проверочная  таблица'!WD27</f>
        <v>0</v>
      </c>
      <c r="CS25" s="461">
        <f>'Проверочная  таблица'!WE27</f>
        <v>0</v>
      </c>
      <c r="CT25" s="78">
        <f>'Проверочная  таблица'!WH27</f>
        <v>6930184.5300000003</v>
      </c>
      <c r="CU25" s="78">
        <f>'Проверочная  таблица'!WK27</f>
        <v>3350098</v>
      </c>
      <c r="CV25" s="78">
        <f>'Проверочная  таблица'!WN27</f>
        <v>810000</v>
      </c>
      <c r="CW25" s="78">
        <f>'Проверочная  таблица'!WQ27</f>
        <v>405045.57</v>
      </c>
      <c r="CX25" s="78">
        <f t="shared" si="10"/>
        <v>14405558.27</v>
      </c>
      <c r="CY25" s="73">
        <f t="shared" si="10"/>
        <v>12504863.42</v>
      </c>
      <c r="CZ25" s="77">
        <f>'Проверочная  таблица'!WV27</f>
        <v>0</v>
      </c>
      <c r="DA25" s="73">
        <f>'Проверочная  таблица'!WY27</f>
        <v>0</v>
      </c>
      <c r="DB25" s="77">
        <f>'Проверочная  таблица'!XB27</f>
        <v>1792967.27</v>
      </c>
      <c r="DC25" s="73">
        <f>'Проверочная  таблица'!XE27</f>
        <v>896472</v>
      </c>
      <c r="DD25" s="77">
        <f>'Проверочная  таблица'!XH27</f>
        <v>12612591</v>
      </c>
      <c r="DE25" s="73">
        <f>'Проверочная  таблица'!XK27</f>
        <v>11608391.42</v>
      </c>
      <c r="DG25" s="456">
        <f t="shared" si="4"/>
        <v>7740.1845300000014</v>
      </c>
      <c r="DH25" s="456">
        <f t="shared" si="4"/>
        <v>3755.1435700000002</v>
      </c>
    </row>
    <row r="26" spans="1:112" ht="25.5" customHeight="1" x14ac:dyDescent="0.25">
      <c r="A26" s="70" t="s">
        <v>333</v>
      </c>
      <c r="B26" s="457">
        <f t="shared" si="0"/>
        <v>208395092.07999998</v>
      </c>
      <c r="C26" s="458">
        <f t="shared" si="1"/>
        <v>59728554.649999991</v>
      </c>
      <c r="D26" s="1048">
        <f t="shared" si="5"/>
        <v>69400159.019999996</v>
      </c>
      <c r="E26" s="1049">
        <f t="shared" si="6"/>
        <v>0</v>
      </c>
      <c r="F26" s="445">
        <f>'Проверочная  таблица'!BT28+'Проверочная  таблица'!BV28</f>
        <v>0</v>
      </c>
      <c r="G26" s="446">
        <f>'Проверочная  таблица'!BU28+'Проверочная  таблица'!BW28</f>
        <v>0</v>
      </c>
      <c r="H26" s="446">
        <f>'Проверочная  таблица'!CC28</f>
        <v>2274159.02</v>
      </c>
      <c r="I26" s="447">
        <f>'Проверочная  таблица'!CF28</f>
        <v>0</v>
      </c>
      <c r="J26" s="446">
        <f>'Проверочная  таблица'!CD28</f>
        <v>67126000</v>
      </c>
      <c r="K26" s="447">
        <f>'Проверочная  таблица'!CG28</f>
        <v>0</v>
      </c>
      <c r="L26" s="77">
        <f t="shared" si="2"/>
        <v>138994933.06</v>
      </c>
      <c r="M26" s="78">
        <f t="shared" si="3"/>
        <v>59728554.649999991</v>
      </c>
      <c r="N26" s="71">
        <f t="shared" si="7"/>
        <v>95695163.299999997</v>
      </c>
      <c r="O26" s="71">
        <f t="shared" si="8"/>
        <v>25997599.189999998</v>
      </c>
      <c r="P26" s="78">
        <f>'Проверочная  таблица'!CX28</f>
        <v>243864.57</v>
      </c>
      <c r="Q26" s="78">
        <f>'Проверочная  таблица'!DE28</f>
        <v>0</v>
      </c>
      <c r="R26" s="78">
        <f>'Проверочная  таблица'!CZ28+'Проверочная  таблица'!DL28</f>
        <v>15838100</v>
      </c>
      <c r="S26" s="73">
        <f>'Проверочная  таблица'!DG28+'Проверочная  таблица'!DO28</f>
        <v>0</v>
      </c>
      <c r="T26" s="77">
        <f>'Проверочная  таблица'!DB28</f>
        <v>0</v>
      </c>
      <c r="U26" s="73">
        <f>'Проверочная  таблица'!DI28</f>
        <v>0</v>
      </c>
      <c r="V26" s="79">
        <f>'Проверочная  таблица'!ED28</f>
        <v>0</v>
      </c>
      <c r="W26" s="78">
        <f>'Проверочная  таблица'!EG28</f>
        <v>0</v>
      </c>
      <c r="X26" s="78">
        <f>'Проверочная  таблица'!EJ28</f>
        <v>0</v>
      </c>
      <c r="Y26" s="73">
        <f>'Проверочная  таблица'!EM28</f>
        <v>0</v>
      </c>
      <c r="Z26" s="73">
        <f>'Проверочная  таблица'!EQ28</f>
        <v>0</v>
      </c>
      <c r="AA26" s="73">
        <f>'Проверочная  таблица'!EU28</f>
        <v>0</v>
      </c>
      <c r="AB26" s="78">
        <f>'Проверочная  таблица'!EX28</f>
        <v>0</v>
      </c>
      <c r="AC26" s="73">
        <f>'Проверочная  таблица'!FA28</f>
        <v>0</v>
      </c>
      <c r="AD26" s="77">
        <f>'Проверочная  таблица'!FD28+'Проверочная  таблица'!FJ28</f>
        <v>0</v>
      </c>
      <c r="AE26" s="78">
        <f>'Проверочная  таблица'!FG28+'Проверочная  таблица'!FM28</f>
        <v>0</v>
      </c>
      <c r="AF26" s="78">
        <f>'Проверочная  таблица'!GB28</f>
        <v>0</v>
      </c>
      <c r="AG26" s="78">
        <f>'Проверочная  таблица'!GE28</f>
        <v>0</v>
      </c>
      <c r="AH26" s="78">
        <f>'Проверочная  таблица'!GH28+'Проверочная  таблица'!GN28</f>
        <v>0</v>
      </c>
      <c r="AI26" s="73">
        <f>'Проверочная  таблица'!GK28+'Проверочная  таблица'!GQ28</f>
        <v>0</v>
      </c>
      <c r="AJ26" s="79">
        <f>'Проверочная  таблица'!GX28</f>
        <v>0</v>
      </c>
      <c r="AK26" s="78">
        <f>'Проверочная  таблица'!HB28</f>
        <v>0</v>
      </c>
      <c r="AL26" s="78">
        <f>'Проверочная  таблица'!HN28</f>
        <v>0</v>
      </c>
      <c r="AM26" s="78">
        <f>'Проверочная  таблица'!HQ28</f>
        <v>0</v>
      </c>
      <c r="AN26" s="78">
        <f>'Проверочная  таблица'!HT28+'Проверочная  таблица'!HZ28</f>
        <v>821052.83999999985</v>
      </c>
      <c r="AO26" s="78">
        <f>'Проверочная  таблица'!HW28+'Проверочная  таблица'!IC28</f>
        <v>0</v>
      </c>
      <c r="AP26" s="78">
        <f>'Проверочная  таблица'!IR28+'Проверочная  таблица'!IX28</f>
        <v>0</v>
      </c>
      <c r="AQ26" s="73">
        <f>'Проверочная  таблица'!IU28+'Проверочная  таблица'!JA28</f>
        <v>0</v>
      </c>
      <c r="AR26" s="77">
        <f>'Проверочная  таблица'!JH28</f>
        <v>14250000</v>
      </c>
      <c r="AS26" s="73">
        <f>'Проверочная  таблица'!JK28</f>
        <v>0</v>
      </c>
      <c r="AT26" s="77">
        <f>'Проверочная  таблица'!JN28</f>
        <v>0</v>
      </c>
      <c r="AU26" s="73">
        <f>'Проверочная  таблица'!JQ28</f>
        <v>0</v>
      </c>
      <c r="AV26" s="77">
        <f>'Проверочная  таблица'!JT28+'Проверочная  таблица'!JZ28</f>
        <v>13173.939999999988</v>
      </c>
      <c r="AW26" s="78">
        <f>'Проверочная  таблица'!JW28+'Проверочная  таблица'!KC28</f>
        <v>0</v>
      </c>
      <c r="AX26" s="78">
        <f>'Проверочная  таблица'!KR28+'Проверочная  таблица'!LB28</f>
        <v>185321.32</v>
      </c>
      <c r="AY26" s="73">
        <f>'Проверочная  таблица'!LG28+'Проверочная  таблица'!KW28</f>
        <v>0</v>
      </c>
      <c r="AZ26" s="78">
        <f>'Проверочная  таблица'!KT28+'Проверочная  таблица'!LD28</f>
        <v>43463.33</v>
      </c>
      <c r="BA26" s="73">
        <f>'Проверочная  таблица'!LI28+'Проверочная  таблица'!KY28</f>
        <v>0</v>
      </c>
      <c r="BB26" s="77">
        <f>'Проверочная  таблица'!LY28+'Проверочная  таблица'!MG28</f>
        <v>8472600</v>
      </c>
      <c r="BC26" s="73">
        <f>'Проверочная  таблица'!MK28+'Проверочная  таблица'!MC28</f>
        <v>7745644.3099999996</v>
      </c>
      <c r="BD26" s="78">
        <f>'Проверочная  таблица'!NF28</f>
        <v>0</v>
      </c>
      <c r="BE26" s="73">
        <f>'Проверочная  таблица'!NN28</f>
        <v>0</v>
      </c>
      <c r="BF26" s="78">
        <f>'Проверочная  таблица'!ND28</f>
        <v>0</v>
      </c>
      <c r="BG26" s="73">
        <f>'Проверочная  таблица'!NL28</f>
        <v>0</v>
      </c>
      <c r="BH26" s="77">
        <f>'Проверочная  таблица'!NI28+'Проверочная  таблица'!NT28</f>
        <v>60346.559999999998</v>
      </c>
      <c r="BI26" s="78">
        <f>'Проверочная  таблица'!NW28+'Проверочная  таблица'!NQ28</f>
        <v>41599.019999999997</v>
      </c>
      <c r="BJ26" s="73">
        <f>'Проверочная  таблица'!OL28</f>
        <v>0</v>
      </c>
      <c r="BK26" s="73">
        <f>'Проверочная  таблица'!OP28</f>
        <v>0</v>
      </c>
      <c r="BL26" s="77">
        <f>'Проверочная  таблица'!OT28+'Проверочная  таблица'!PB28</f>
        <v>29744209.579999998</v>
      </c>
      <c r="BM26" s="78">
        <f>'Проверочная  таблица'!OX28+'Проверочная  таблица'!PF28</f>
        <v>12434178.039999999</v>
      </c>
      <c r="BN26" s="78">
        <f>'Проверочная  таблица'!QJ28+'Проверочная  таблица'!PZ28</f>
        <v>0</v>
      </c>
      <c r="BO26" s="73">
        <f>'Проверочная  таблица'!QM28+'Проверочная  таблица'!QE28</f>
        <v>0</v>
      </c>
      <c r="BP26" s="78"/>
      <c r="BQ26" s="73"/>
      <c r="BR26" s="77">
        <f>'Проверочная  таблица'!RB28</f>
        <v>0</v>
      </c>
      <c r="BS26" s="73">
        <f>'Проверочная  таблица'!RE28</f>
        <v>0</v>
      </c>
      <c r="BT26" s="77">
        <f>'Проверочная  таблица'!RH28+'Проверочная  таблица'!RN28</f>
        <v>0</v>
      </c>
      <c r="BU26" s="73">
        <f>'Проверочная  таблица'!RK28+'Проверочная  таблица'!RQ28</f>
        <v>0</v>
      </c>
      <c r="BV26" s="77">
        <f>'Проверочная  таблица'!SF28</f>
        <v>0</v>
      </c>
      <c r="BW26" s="78">
        <f>'Проверочная  таблица'!SI28</f>
        <v>0</v>
      </c>
      <c r="BX26" s="78">
        <f>'Проверочная  таблица'!SM28</f>
        <v>0</v>
      </c>
      <c r="BY26" s="73">
        <f>'Проверочная  таблица'!SQ28</f>
        <v>0</v>
      </c>
      <c r="BZ26" s="77">
        <f>'Проверочная  таблица'!ST28</f>
        <v>0</v>
      </c>
      <c r="CA26" s="78">
        <f>'Проверочная  таблица'!SW28</f>
        <v>0</v>
      </c>
      <c r="CB26" s="78">
        <f>'Проверочная  таблица'!TN28+'Проверочная  таблица'!SZ28</f>
        <v>26023031.159999996</v>
      </c>
      <c r="CC26" s="73">
        <f>'Проверочная  таблица'!TU28+'Проверочная  таблица'!TG28</f>
        <v>5776177.8199999994</v>
      </c>
      <c r="CD26" s="77">
        <f>'Проверочная  таблица'!TB28+'Проверочная  таблица'!TP28</f>
        <v>0</v>
      </c>
      <c r="CE26" s="78">
        <f>'Проверочная  таблица'!TW28+'Проверочная  таблица'!TI28</f>
        <v>0</v>
      </c>
      <c r="CF26" s="78">
        <f>'Проверочная  таблица'!TR28+'Проверочная  таблица'!TD28</f>
        <v>0</v>
      </c>
      <c r="CG26" s="73">
        <f>'Проверочная  таблица'!TY28+'Проверочная  таблица'!TK28</f>
        <v>0</v>
      </c>
      <c r="CH26" s="78">
        <f t="shared" si="9"/>
        <v>20392820.579999998</v>
      </c>
      <c r="CI26" s="78">
        <f t="shared" si="9"/>
        <v>11976628.219999999</v>
      </c>
      <c r="CJ26" s="73">
        <f>'Проверочная  таблица'!VV28+'Проверочная  таблица'!VT28</f>
        <v>3858100</v>
      </c>
      <c r="CK26" s="73">
        <f>'Проверочная  таблица'!VW28+'Проверочная  таблица'!VU28</f>
        <v>1929050</v>
      </c>
      <c r="CL26" s="79">
        <f>'Проверочная  таблица'!VX28</f>
        <v>0</v>
      </c>
      <c r="CM26" s="79">
        <f>'Проверочная  таблица'!VY28</f>
        <v>0</v>
      </c>
      <c r="CN26" s="461">
        <f>'Проверочная  таблица'!VZ28</f>
        <v>0</v>
      </c>
      <c r="CO26" s="462">
        <f>'Проверочная  таблица'!WA28</f>
        <v>0</v>
      </c>
      <c r="CP26" s="463">
        <f>'Проверочная  таблица'!WB28</f>
        <v>0</v>
      </c>
      <c r="CQ26" s="462">
        <f>'Проверочная  таблица'!WC28</f>
        <v>0</v>
      </c>
      <c r="CR26" s="463">
        <f>'Проверочная  таблица'!WD28</f>
        <v>0</v>
      </c>
      <c r="CS26" s="461">
        <f>'Проверочная  таблица'!WE28</f>
        <v>0</v>
      </c>
      <c r="CT26" s="78">
        <f>'Проверочная  таблица'!WH28</f>
        <v>15729720.58</v>
      </c>
      <c r="CU26" s="78">
        <f>'Проверочная  таблица'!WK28</f>
        <v>9635229</v>
      </c>
      <c r="CV26" s="78">
        <f>'Проверочная  таблица'!WN28</f>
        <v>805000</v>
      </c>
      <c r="CW26" s="78">
        <f>'Проверочная  таблица'!WQ28</f>
        <v>412349.22</v>
      </c>
      <c r="CX26" s="78">
        <f t="shared" si="10"/>
        <v>22906949.18</v>
      </c>
      <c r="CY26" s="73">
        <f t="shared" si="10"/>
        <v>21754327.239999998</v>
      </c>
      <c r="CZ26" s="77">
        <f>'Проверочная  таблица'!WV28</f>
        <v>0</v>
      </c>
      <c r="DA26" s="73">
        <f>'Проверочная  таблица'!WY28</f>
        <v>0</v>
      </c>
      <c r="DB26" s="77">
        <f>'Проверочная  таблица'!XB28</f>
        <v>3073658.1799999997</v>
      </c>
      <c r="DC26" s="73">
        <f>'Проверочная  таблица'!XE28</f>
        <v>1921036.36</v>
      </c>
      <c r="DD26" s="77">
        <f>'Проверочная  таблица'!XH28</f>
        <v>19833291</v>
      </c>
      <c r="DE26" s="73">
        <f>'Проверочная  таблица'!XK28</f>
        <v>19833290.879999999</v>
      </c>
      <c r="DG26" s="456">
        <f t="shared" si="4"/>
        <v>16534.720579999997</v>
      </c>
      <c r="DH26" s="456">
        <f t="shared" si="4"/>
        <v>10047.578219999999</v>
      </c>
    </row>
    <row r="27" spans="1:112" ht="25.5" customHeight="1" x14ac:dyDescent="0.25">
      <c r="A27" s="70" t="s">
        <v>334</v>
      </c>
      <c r="B27" s="457">
        <f t="shared" si="0"/>
        <v>45000128.359999999</v>
      </c>
      <c r="C27" s="458">
        <f t="shared" si="1"/>
        <v>15687314.74</v>
      </c>
      <c r="D27" s="1048">
        <f t="shared" si="5"/>
        <v>12543068.1</v>
      </c>
      <c r="E27" s="1049">
        <f t="shared" si="6"/>
        <v>0</v>
      </c>
      <c r="F27" s="445">
        <f>'Проверочная  таблица'!BT29+'Проверочная  таблица'!BV29</f>
        <v>0</v>
      </c>
      <c r="G27" s="446">
        <f>'Проверочная  таблица'!BU29+'Проверочная  таблица'!BW29</f>
        <v>0</v>
      </c>
      <c r="H27" s="446">
        <f>'Проверочная  таблица'!CC29</f>
        <v>12543068.1</v>
      </c>
      <c r="I27" s="447">
        <f>'Проверочная  таблица'!CF29</f>
        <v>0</v>
      </c>
      <c r="J27" s="446">
        <f>'Проверочная  таблица'!CD29</f>
        <v>0</v>
      </c>
      <c r="K27" s="447">
        <f>'Проверочная  таблица'!CG29</f>
        <v>0</v>
      </c>
      <c r="L27" s="77">
        <f t="shared" si="2"/>
        <v>32457060.260000002</v>
      </c>
      <c r="M27" s="78">
        <f t="shared" si="3"/>
        <v>15687314.74</v>
      </c>
      <c r="N27" s="71">
        <f t="shared" si="7"/>
        <v>11963923.950000001</v>
      </c>
      <c r="O27" s="71">
        <f t="shared" si="8"/>
        <v>78530.73</v>
      </c>
      <c r="P27" s="78">
        <f>'Проверочная  таблица'!CX29</f>
        <v>0</v>
      </c>
      <c r="Q27" s="78">
        <f>'Проверочная  таблица'!DE29</f>
        <v>0</v>
      </c>
      <c r="R27" s="78">
        <f>'Проверочная  таблица'!CZ29+'Проверочная  таблица'!DL29</f>
        <v>0</v>
      </c>
      <c r="S27" s="73">
        <f>'Проверочная  таблица'!DG29+'Проверочная  таблица'!DO29</f>
        <v>0</v>
      </c>
      <c r="T27" s="77">
        <f>'Проверочная  таблица'!DB29</f>
        <v>0</v>
      </c>
      <c r="U27" s="73">
        <f>'Проверочная  таблица'!DI29</f>
        <v>0</v>
      </c>
      <c r="V27" s="79">
        <f>'Проверочная  таблица'!ED29</f>
        <v>2991400</v>
      </c>
      <c r="W27" s="78">
        <f>'Проверочная  таблица'!EG29</f>
        <v>0</v>
      </c>
      <c r="X27" s="78">
        <f>'Проверочная  таблица'!EJ29</f>
        <v>0</v>
      </c>
      <c r="Y27" s="73">
        <f>'Проверочная  таблица'!EM29</f>
        <v>0</v>
      </c>
      <c r="Z27" s="73">
        <f>'Проверочная  таблица'!EQ29</f>
        <v>0</v>
      </c>
      <c r="AA27" s="73">
        <f>'Проверочная  таблица'!EU29</f>
        <v>0</v>
      </c>
      <c r="AB27" s="78">
        <f>'Проверочная  таблица'!EX29</f>
        <v>0</v>
      </c>
      <c r="AC27" s="73">
        <f>'Проверочная  таблица'!FA29</f>
        <v>0</v>
      </c>
      <c r="AD27" s="77">
        <f>'Проверочная  таблица'!FD29+'Проверочная  таблица'!FJ29</f>
        <v>0</v>
      </c>
      <c r="AE27" s="78">
        <f>'Проверочная  таблица'!FG29+'Проверочная  таблица'!FM29</f>
        <v>0</v>
      </c>
      <c r="AF27" s="78">
        <f>'Проверочная  таблица'!GB29</f>
        <v>0</v>
      </c>
      <c r="AG27" s="78">
        <f>'Проверочная  таблица'!GE29</f>
        <v>0</v>
      </c>
      <c r="AH27" s="78">
        <f>'Проверочная  таблица'!GH29+'Проверочная  таблица'!GN29</f>
        <v>0</v>
      </c>
      <c r="AI27" s="73">
        <f>'Проверочная  таблица'!GK29+'Проверочная  таблица'!GQ29</f>
        <v>0</v>
      </c>
      <c r="AJ27" s="79">
        <f>'Проверочная  таблица'!GX29</f>
        <v>0</v>
      </c>
      <c r="AK27" s="78">
        <f>'Проверочная  таблица'!HB29</f>
        <v>0</v>
      </c>
      <c r="AL27" s="78">
        <f>'Проверочная  таблица'!HN29</f>
        <v>0</v>
      </c>
      <c r="AM27" s="78">
        <f>'Проверочная  таблица'!HQ29</f>
        <v>0</v>
      </c>
      <c r="AN27" s="78">
        <f>'Проверочная  таблица'!HT29+'Проверочная  таблица'!HZ29</f>
        <v>0</v>
      </c>
      <c r="AO27" s="78">
        <f>'Проверочная  таблица'!HW29+'Проверочная  таблица'!IC29</f>
        <v>0</v>
      </c>
      <c r="AP27" s="78">
        <f>'Проверочная  таблица'!IR29+'Проверочная  таблица'!IX29</f>
        <v>0</v>
      </c>
      <c r="AQ27" s="73">
        <f>'Проверочная  таблица'!IU29+'Проверочная  таблица'!JA29</f>
        <v>0</v>
      </c>
      <c r="AR27" s="77">
        <f>'Проверочная  таблица'!JH29</f>
        <v>0</v>
      </c>
      <c r="AS27" s="73">
        <f>'Проверочная  таблица'!JK29</f>
        <v>0</v>
      </c>
      <c r="AT27" s="77">
        <f>'Проверочная  таблица'!JN29</f>
        <v>0</v>
      </c>
      <c r="AU27" s="73">
        <f>'Проверочная  таблица'!JQ29</f>
        <v>0</v>
      </c>
      <c r="AV27" s="77">
        <f>'Проверочная  таблица'!JT29+'Проверочная  таблица'!JZ29</f>
        <v>0</v>
      </c>
      <c r="AW27" s="78">
        <f>'Проверочная  таблица'!JW29+'Проверочная  таблица'!KC29</f>
        <v>0</v>
      </c>
      <c r="AX27" s="78">
        <f>'Проверочная  таблица'!KR29+'Проверочная  таблица'!LB29</f>
        <v>377128.78</v>
      </c>
      <c r="AY27" s="73">
        <f>'Проверочная  таблица'!LG29+'Проверочная  таблица'!KW29</f>
        <v>0</v>
      </c>
      <c r="AZ27" s="78">
        <f>'Проверочная  таблица'!KT29+'Проверочная  таблица'!LD29</f>
        <v>87041.22</v>
      </c>
      <c r="BA27" s="73">
        <f>'Проверочная  таблица'!LI29+'Проверочная  таблица'!KY29</f>
        <v>0</v>
      </c>
      <c r="BB27" s="77">
        <f>'Проверочная  таблица'!LY29+'Проверочная  таблица'!MG29</f>
        <v>0</v>
      </c>
      <c r="BC27" s="73">
        <f>'Проверочная  таблица'!MK29+'Проверочная  таблица'!MC29</f>
        <v>0</v>
      </c>
      <c r="BD27" s="78">
        <f>'Проверочная  таблица'!NF29</f>
        <v>0</v>
      </c>
      <c r="BE27" s="73">
        <f>'Проверочная  таблица'!NN29</f>
        <v>0</v>
      </c>
      <c r="BF27" s="78">
        <f>'Проверочная  таблица'!ND29</f>
        <v>0</v>
      </c>
      <c r="BG27" s="73">
        <f>'Проверочная  таблица'!NL29</f>
        <v>0</v>
      </c>
      <c r="BH27" s="77">
        <f>'Проверочная  таблица'!NI29+'Проверочная  таблица'!NT29</f>
        <v>78530.73</v>
      </c>
      <c r="BI27" s="78">
        <f>'Проверочная  таблица'!NW29+'Проверочная  таблица'!NQ29</f>
        <v>78530.73</v>
      </c>
      <c r="BJ27" s="73">
        <f>'Проверочная  таблица'!OL29</f>
        <v>0</v>
      </c>
      <c r="BK27" s="73">
        <f>'Проверочная  таблица'!OP29</f>
        <v>0</v>
      </c>
      <c r="BL27" s="77">
        <f>'Проверочная  таблица'!OT29+'Проверочная  таблица'!PB29</f>
        <v>8429823.2200000007</v>
      </c>
      <c r="BM27" s="78">
        <f>'Проверочная  таблица'!OX29+'Проверочная  таблица'!PF29</f>
        <v>0</v>
      </c>
      <c r="BN27" s="78">
        <f>'Проверочная  таблица'!QJ29+'Проверочная  таблица'!PZ29</f>
        <v>0</v>
      </c>
      <c r="BO27" s="73">
        <f>'Проверочная  таблица'!QM29+'Проверочная  таблица'!QE29</f>
        <v>0</v>
      </c>
      <c r="BP27" s="78"/>
      <c r="BQ27" s="73"/>
      <c r="BR27" s="77">
        <f>'Проверочная  таблица'!RB29</f>
        <v>0</v>
      </c>
      <c r="BS27" s="73">
        <f>'Проверочная  таблица'!RE29</f>
        <v>0</v>
      </c>
      <c r="BT27" s="77">
        <f>'Проверочная  таблица'!RH29+'Проверочная  таблица'!RN29</f>
        <v>0</v>
      </c>
      <c r="BU27" s="73">
        <f>'Проверочная  таблица'!RK29+'Проверочная  таблица'!RQ29</f>
        <v>0</v>
      </c>
      <c r="BV27" s="77">
        <f>'Проверочная  таблица'!SF29</f>
        <v>0</v>
      </c>
      <c r="BW27" s="78">
        <f>'Проверочная  таблица'!SI29</f>
        <v>0</v>
      </c>
      <c r="BX27" s="78">
        <f>'Проверочная  таблица'!SM29</f>
        <v>0</v>
      </c>
      <c r="BY27" s="73">
        <f>'Проверочная  таблица'!SQ29</f>
        <v>0</v>
      </c>
      <c r="BZ27" s="77">
        <f>'Проверочная  таблица'!ST29</f>
        <v>0</v>
      </c>
      <c r="CA27" s="78">
        <f>'Проверочная  таблица'!SW29</f>
        <v>0</v>
      </c>
      <c r="CB27" s="78">
        <f>'Проверочная  таблица'!TN29+'Проверочная  таблица'!SZ29</f>
        <v>0</v>
      </c>
      <c r="CC27" s="73">
        <f>'Проверочная  таблица'!TU29+'Проверочная  таблица'!TG29</f>
        <v>0</v>
      </c>
      <c r="CD27" s="77">
        <f>'Проверочная  таблица'!TB29+'Проверочная  таблица'!TP29</f>
        <v>0</v>
      </c>
      <c r="CE27" s="78">
        <f>'Проверочная  таблица'!TW29+'Проверочная  таблица'!TI29</f>
        <v>0</v>
      </c>
      <c r="CF27" s="78">
        <f>'Проверочная  таблица'!TR29+'Проверочная  таблица'!TD29</f>
        <v>0</v>
      </c>
      <c r="CG27" s="73">
        <f>'Проверочная  таблица'!TY29+'Проверочная  таблица'!TK29</f>
        <v>0</v>
      </c>
      <c r="CH27" s="78">
        <f t="shared" si="9"/>
        <v>8341504.4000000004</v>
      </c>
      <c r="CI27" s="78">
        <f t="shared" si="9"/>
        <v>3990773.33</v>
      </c>
      <c r="CJ27" s="73">
        <f>'Проверочная  таблица'!VV29+'Проверочная  таблица'!VT29</f>
        <v>1898500</v>
      </c>
      <c r="CK27" s="73">
        <f>'Проверочная  таблица'!VW29+'Проверочная  таблица'!VU29</f>
        <v>791257.54999999993</v>
      </c>
      <c r="CL27" s="79">
        <f>'Проверочная  таблица'!VX29</f>
        <v>0</v>
      </c>
      <c r="CM27" s="79">
        <f>'Проверочная  таблица'!VY29</f>
        <v>0</v>
      </c>
      <c r="CN27" s="461">
        <f>'Проверочная  таблица'!VZ29</f>
        <v>0</v>
      </c>
      <c r="CO27" s="462">
        <f>'Проверочная  таблица'!WA29</f>
        <v>0</v>
      </c>
      <c r="CP27" s="463">
        <f>'Проверочная  таблица'!WB29</f>
        <v>0</v>
      </c>
      <c r="CQ27" s="462">
        <f>'Проверочная  таблица'!WC29</f>
        <v>0</v>
      </c>
      <c r="CR27" s="463">
        <f>'Проверочная  таблица'!WD29</f>
        <v>0</v>
      </c>
      <c r="CS27" s="461">
        <f>'Проверочная  таблица'!WE29</f>
        <v>0</v>
      </c>
      <c r="CT27" s="78">
        <f>'Проверочная  таблица'!WH29</f>
        <v>5610004.4000000004</v>
      </c>
      <c r="CU27" s="78">
        <f>'Проверочная  таблица'!WK29</f>
        <v>2886000</v>
      </c>
      <c r="CV27" s="78">
        <f>'Проверочная  таблица'!WN29</f>
        <v>833000</v>
      </c>
      <c r="CW27" s="78">
        <f>'Проверочная  таблица'!WQ29</f>
        <v>313515.78000000003</v>
      </c>
      <c r="CX27" s="78">
        <f t="shared" si="10"/>
        <v>12151631.91</v>
      </c>
      <c r="CY27" s="73">
        <f t="shared" si="10"/>
        <v>11618010.68</v>
      </c>
      <c r="CZ27" s="77">
        <f>'Проверочная  таблица'!WV29</f>
        <v>0</v>
      </c>
      <c r="DA27" s="73">
        <f>'Проверочная  таблица'!WY29</f>
        <v>0</v>
      </c>
      <c r="DB27" s="77">
        <f>'Проверочная  таблица'!XB29</f>
        <v>1280690.9099999999</v>
      </c>
      <c r="DC27" s="73">
        <f>'Проверочная  таблица'!XE29</f>
        <v>747069.68</v>
      </c>
      <c r="DD27" s="77">
        <f>'Проверочная  таблица'!XH29</f>
        <v>10870941</v>
      </c>
      <c r="DE27" s="73">
        <f>'Проверочная  таблица'!XK29</f>
        <v>10870941</v>
      </c>
      <c r="DG27" s="456">
        <f t="shared" si="4"/>
        <v>6443.0044000000007</v>
      </c>
      <c r="DH27" s="456">
        <f t="shared" si="4"/>
        <v>3199.5157800000002</v>
      </c>
    </row>
    <row r="28" spans="1:112" ht="25.5" customHeight="1" thickBot="1" x14ac:dyDescent="0.3">
      <c r="A28" s="90" t="s">
        <v>335</v>
      </c>
      <c r="B28" s="468">
        <f t="shared" si="0"/>
        <v>159572508.94</v>
      </c>
      <c r="C28" s="469">
        <f t="shared" si="1"/>
        <v>46058539.329999998</v>
      </c>
      <c r="D28" s="1052">
        <f t="shared" si="5"/>
        <v>48144600</v>
      </c>
      <c r="E28" s="1053">
        <f t="shared" si="6"/>
        <v>3145000</v>
      </c>
      <c r="F28" s="445">
        <f>'Проверочная  таблица'!BT30+'Проверочная  таблица'!BV30</f>
        <v>0</v>
      </c>
      <c r="G28" s="446">
        <f>'Проверочная  таблица'!BU30+'Проверочная  таблица'!BW30</f>
        <v>0</v>
      </c>
      <c r="H28" s="1064">
        <f>'Проверочная  таблица'!CC30</f>
        <v>28613600</v>
      </c>
      <c r="I28" s="1065">
        <f>'Проверочная  таблица'!CF30</f>
        <v>0</v>
      </c>
      <c r="J28" s="1064">
        <f>'Проверочная  таблица'!CD30</f>
        <v>19531000</v>
      </c>
      <c r="K28" s="1065">
        <f>'Проверочная  таблица'!CG30</f>
        <v>3145000</v>
      </c>
      <c r="L28" s="96">
        <f t="shared" si="2"/>
        <v>111427908.94</v>
      </c>
      <c r="M28" s="470">
        <f t="shared" si="3"/>
        <v>42913539.329999998</v>
      </c>
      <c r="N28" s="71">
        <f t="shared" si="7"/>
        <v>77660806.140000001</v>
      </c>
      <c r="O28" s="71">
        <f t="shared" si="8"/>
        <v>18889425.140000001</v>
      </c>
      <c r="P28" s="97">
        <f>'Проверочная  таблица'!CX30</f>
        <v>0</v>
      </c>
      <c r="Q28" s="97">
        <f>'Проверочная  таблица'!DE30</f>
        <v>0</v>
      </c>
      <c r="R28" s="97">
        <f>'Проверочная  таблица'!CZ30+'Проверочная  таблица'!DL30</f>
        <v>0</v>
      </c>
      <c r="S28" s="91">
        <f>'Проверочная  таблица'!DG30+'Проверочная  таблица'!DO30</f>
        <v>0</v>
      </c>
      <c r="T28" s="96">
        <f>'Проверочная  таблица'!DB30</f>
        <v>0</v>
      </c>
      <c r="U28" s="91">
        <f>'Проверочная  таблица'!DI30</f>
        <v>0</v>
      </c>
      <c r="V28" s="98">
        <f>'Проверочная  таблица'!ED30</f>
        <v>0</v>
      </c>
      <c r="W28" s="97">
        <f>'Проверочная  таблица'!EG30</f>
        <v>0</v>
      </c>
      <c r="X28" s="97">
        <f>'Проверочная  таблица'!EJ30</f>
        <v>0</v>
      </c>
      <c r="Y28" s="91">
        <f>'Проверочная  таблица'!EM30</f>
        <v>0</v>
      </c>
      <c r="Z28" s="91">
        <f>'Проверочная  таблица'!EQ30</f>
        <v>0</v>
      </c>
      <c r="AA28" s="91">
        <f>'Проверочная  таблица'!EU30</f>
        <v>0</v>
      </c>
      <c r="AB28" s="97">
        <f>'Проверочная  таблица'!EX30</f>
        <v>0</v>
      </c>
      <c r="AC28" s="91">
        <f>'Проверочная  таблица'!FA30</f>
        <v>0</v>
      </c>
      <c r="AD28" s="96">
        <f>'Проверочная  таблица'!FD30+'Проверочная  таблица'!FJ30</f>
        <v>224762.96</v>
      </c>
      <c r="AE28" s="97">
        <f>'Проверочная  таблица'!FG30+'Проверочная  таблица'!FM30</f>
        <v>224762.97</v>
      </c>
      <c r="AF28" s="97">
        <f>'Проверочная  таблица'!GB30</f>
        <v>0</v>
      </c>
      <c r="AG28" s="97">
        <f>'Проверочная  таблица'!GE30</f>
        <v>0</v>
      </c>
      <c r="AH28" s="97">
        <f>'Проверочная  таблица'!GH30+'Проверочная  таблица'!GN30</f>
        <v>0</v>
      </c>
      <c r="AI28" s="91">
        <f>'Проверочная  таблица'!GK30+'Проверочная  таблица'!GQ30</f>
        <v>0</v>
      </c>
      <c r="AJ28" s="98">
        <f>'Проверочная  таблица'!GX30</f>
        <v>28177208.5</v>
      </c>
      <c r="AK28" s="97">
        <f>'Проверочная  таблица'!HB30</f>
        <v>0</v>
      </c>
      <c r="AL28" s="97">
        <f>'Проверочная  таблица'!HN30</f>
        <v>0</v>
      </c>
      <c r="AM28" s="97">
        <f>'Проверочная  таблица'!HQ30</f>
        <v>0</v>
      </c>
      <c r="AN28" s="97">
        <f>'Проверочная  таблица'!HT30+'Проверочная  таблица'!HZ30</f>
        <v>821052.83999999985</v>
      </c>
      <c r="AO28" s="97">
        <f>'Проверочная  таблица'!HW30+'Проверочная  таблица'!IC30</f>
        <v>0</v>
      </c>
      <c r="AP28" s="97">
        <f>'Проверочная  таблица'!IR30+'Проверочная  таблица'!IX30</f>
        <v>2500000</v>
      </c>
      <c r="AQ28" s="91">
        <f>'Проверочная  таблица'!IU30+'Проверочная  таблица'!JA30</f>
        <v>0</v>
      </c>
      <c r="AR28" s="96">
        <f>'Проверочная  таблица'!JH30</f>
        <v>7600000</v>
      </c>
      <c r="AS28" s="91">
        <f>'Проверочная  таблица'!JK30</f>
        <v>563268.53</v>
      </c>
      <c r="AT28" s="96">
        <f>'Проверочная  таблица'!JN30</f>
        <v>0</v>
      </c>
      <c r="AU28" s="91">
        <f>'Проверочная  таблица'!JQ30</f>
        <v>0</v>
      </c>
      <c r="AV28" s="96">
        <f>'Проверочная  таблица'!JT30+'Проверочная  таблица'!JZ30</f>
        <v>0</v>
      </c>
      <c r="AW28" s="97">
        <f>'Проверочная  таблица'!JW30+'Проверочная  таблица'!KC30</f>
        <v>0</v>
      </c>
      <c r="AX28" s="97">
        <f>'Проверочная  таблица'!KR30+'Проверочная  таблица'!LB30</f>
        <v>194713.62</v>
      </c>
      <c r="AY28" s="91">
        <f>'Проверочная  таблица'!LG30+'Проверочная  таблица'!KW30</f>
        <v>0</v>
      </c>
      <c r="AZ28" s="97">
        <f>'Проверочная  таблица'!KT30+'Проверочная  таблица'!LD30</f>
        <v>96823.49</v>
      </c>
      <c r="BA28" s="91">
        <f>'Проверочная  таблица'!LI30+'Проверочная  таблица'!KY30</f>
        <v>0</v>
      </c>
      <c r="BB28" s="96">
        <f>'Проверочная  таблица'!LY30+'Проверочная  таблица'!MG30</f>
        <v>0</v>
      </c>
      <c r="BC28" s="91">
        <f>'Проверочная  таблица'!MK30+'Проверочная  таблица'!MC30</f>
        <v>0</v>
      </c>
      <c r="BD28" s="97">
        <f>'Проверочная  таблица'!NF30</f>
        <v>0</v>
      </c>
      <c r="BE28" s="91">
        <f>'Проверочная  таблица'!NN30</f>
        <v>0</v>
      </c>
      <c r="BF28" s="97">
        <f>'Проверочная  таблица'!ND30</f>
        <v>0</v>
      </c>
      <c r="BG28" s="91">
        <f>'Проверочная  таблица'!NL30</f>
        <v>0</v>
      </c>
      <c r="BH28" s="96">
        <f>'Проверочная  таблица'!NI30+'Проверочная  таблица'!NT30</f>
        <v>188035.01</v>
      </c>
      <c r="BI28" s="97">
        <f>'Проверочная  таблица'!NW30+'Проверочная  таблица'!NQ30</f>
        <v>188035.02</v>
      </c>
      <c r="BJ28" s="91">
        <f>'Проверочная  таблица'!OL30</f>
        <v>0</v>
      </c>
      <c r="BK28" s="91">
        <f>'Проверочная  таблица'!OP30</f>
        <v>0</v>
      </c>
      <c r="BL28" s="96">
        <f>'Проверочная  таблица'!OT30+'Проверочная  таблица'!PB30</f>
        <v>28806720.619999997</v>
      </c>
      <c r="BM28" s="97">
        <f>'Проверочная  таблица'!OX30+'Проверочная  таблица'!PF30</f>
        <v>15600000</v>
      </c>
      <c r="BN28" s="97">
        <f>'Проверочная  таблица'!QJ30+'Проверочная  таблица'!PZ30</f>
        <v>0</v>
      </c>
      <c r="BO28" s="91">
        <f>'Проверочная  таблица'!QM30+'Проверочная  таблица'!QE30</f>
        <v>0</v>
      </c>
      <c r="BP28" s="97"/>
      <c r="BQ28" s="91"/>
      <c r="BR28" s="96">
        <f>'Проверочная  таблица'!RB30</f>
        <v>0</v>
      </c>
      <c r="BS28" s="91">
        <f>'Проверочная  таблица'!RE30</f>
        <v>0</v>
      </c>
      <c r="BT28" s="96">
        <f>'Проверочная  таблица'!RH30+'Проверочная  таблица'!RN30</f>
        <v>0</v>
      </c>
      <c r="BU28" s="91">
        <f>'Проверочная  таблица'!RK30+'Проверочная  таблица'!RQ30</f>
        <v>0</v>
      </c>
      <c r="BV28" s="96">
        <f>'Проверочная  таблица'!SF30</f>
        <v>0</v>
      </c>
      <c r="BW28" s="97">
        <f>'Проверочная  таблица'!SI30</f>
        <v>0</v>
      </c>
      <c r="BX28" s="97">
        <f>'Проверочная  таблица'!SM30</f>
        <v>0</v>
      </c>
      <c r="BY28" s="91">
        <f>'Проверочная  таблица'!SQ30</f>
        <v>0</v>
      </c>
      <c r="BZ28" s="96">
        <f>'Проверочная  таблица'!ST30</f>
        <v>0</v>
      </c>
      <c r="CA28" s="97">
        <f>'Проверочная  таблица'!SW30</f>
        <v>0</v>
      </c>
      <c r="CB28" s="97">
        <f>'Проверочная  таблица'!TN30+'Проверочная  таблица'!SZ30</f>
        <v>9051489.0999999996</v>
      </c>
      <c r="CC28" s="91">
        <f>'Проверочная  таблица'!TU30+'Проверочная  таблица'!TG30</f>
        <v>2313358.62</v>
      </c>
      <c r="CD28" s="96">
        <f>'Проверочная  таблица'!TB30+'Проверочная  таблица'!TP30</f>
        <v>0</v>
      </c>
      <c r="CE28" s="97">
        <f>'Проверочная  таблица'!TW30+'Проверочная  таблица'!TI30</f>
        <v>0</v>
      </c>
      <c r="CF28" s="97">
        <f>'Проверочная  таблица'!TR30+'Проверочная  таблица'!TD30</f>
        <v>0</v>
      </c>
      <c r="CG28" s="91">
        <f>'Проверочная  таблица'!TY30+'Проверочная  таблица'!TK30</f>
        <v>0</v>
      </c>
      <c r="CH28" s="97">
        <f t="shared" si="9"/>
        <v>14629176.16</v>
      </c>
      <c r="CI28" s="97">
        <f t="shared" si="9"/>
        <v>7478388.75</v>
      </c>
      <c r="CJ28" s="103">
        <f>'Проверочная  таблица'!VV30+'Проверочная  таблица'!VT30</f>
        <v>3193500</v>
      </c>
      <c r="CK28" s="103">
        <f>'Проверочная  таблица'!VW30+'Проверочная  таблица'!VU30</f>
        <v>1261713.25</v>
      </c>
      <c r="CL28" s="79">
        <f>'Проверочная  таблица'!VX30</f>
        <v>0</v>
      </c>
      <c r="CM28" s="79">
        <f>'Проверочная  таблица'!VY30</f>
        <v>0</v>
      </c>
      <c r="CN28" s="471">
        <f>'Проверочная  таблица'!VZ30</f>
        <v>0</v>
      </c>
      <c r="CO28" s="472">
        <f>'Проверочная  таблица'!WA30</f>
        <v>0</v>
      </c>
      <c r="CP28" s="473">
        <f>'Проверочная  таблица'!WB30</f>
        <v>0</v>
      </c>
      <c r="CQ28" s="472">
        <f>'Проверочная  таблица'!WC30</f>
        <v>0</v>
      </c>
      <c r="CR28" s="473">
        <f>'Проверочная  таблица'!WD30</f>
        <v>0</v>
      </c>
      <c r="CS28" s="471">
        <f>'Проверочная  таблица'!WE30</f>
        <v>0</v>
      </c>
      <c r="CT28" s="97">
        <f>'Проверочная  таблица'!WH30</f>
        <v>10000676.16</v>
      </c>
      <c r="CU28" s="97">
        <f>'Проверочная  таблица'!WK30</f>
        <v>5535054.4900000002</v>
      </c>
      <c r="CV28" s="97">
        <f>'Проверочная  таблица'!WN30</f>
        <v>1435000</v>
      </c>
      <c r="CW28" s="97">
        <f>'Проверочная  таблица'!WQ30</f>
        <v>681621.01</v>
      </c>
      <c r="CX28" s="97">
        <f t="shared" si="10"/>
        <v>19137926.640000001</v>
      </c>
      <c r="CY28" s="91">
        <f t="shared" si="10"/>
        <v>16545725.439999999</v>
      </c>
      <c r="CZ28" s="96">
        <f>'Проверочная  таблица'!WV30</f>
        <v>0</v>
      </c>
      <c r="DA28" s="91">
        <f>'Проверочная  таблица'!WY30</f>
        <v>0</v>
      </c>
      <c r="DB28" s="96">
        <f>'Проверочная  таблица'!XB30</f>
        <v>2305243.64</v>
      </c>
      <c r="DC28" s="91">
        <f>'Проверочная  таблица'!XE30</f>
        <v>1344725.44</v>
      </c>
      <c r="DD28" s="96">
        <f>'Проверочная  таблица'!XH30</f>
        <v>16832683</v>
      </c>
      <c r="DE28" s="91">
        <f>'Проверочная  таблица'!XK30</f>
        <v>15201000</v>
      </c>
      <c r="DG28" s="456">
        <f t="shared" si="4"/>
        <v>11435.676160000001</v>
      </c>
      <c r="DH28" s="456">
        <f t="shared" si="4"/>
        <v>6216.6755000000003</v>
      </c>
    </row>
    <row r="29" spans="1:112" ht="25.5" customHeight="1" thickBot="1" x14ac:dyDescent="0.3">
      <c r="A29" s="1104" t="s">
        <v>336</v>
      </c>
      <c r="B29" s="107">
        <f t="shared" ref="B29:E29" si="11">SUM(B11:B28)</f>
        <v>4773221690.1199989</v>
      </c>
      <c r="C29" s="156">
        <f t="shared" si="11"/>
        <v>1408988309.4699998</v>
      </c>
      <c r="D29" s="109">
        <f t="shared" si="11"/>
        <v>1181351729.7800002</v>
      </c>
      <c r="E29" s="116">
        <f t="shared" si="11"/>
        <v>3599000</v>
      </c>
      <c r="F29" s="474">
        <f t="shared" ref="F29:BU29" si="12">SUM(F11:F28)</f>
        <v>0</v>
      </c>
      <c r="G29" s="475">
        <f t="shared" si="12"/>
        <v>0</v>
      </c>
      <c r="H29" s="1066">
        <f t="shared" ref="H29:I29" si="13">SUM(H11:H28)</f>
        <v>865675729.78000021</v>
      </c>
      <c r="I29" s="474">
        <f t="shared" si="13"/>
        <v>0</v>
      </c>
      <c r="J29" s="1066">
        <f t="shared" si="12"/>
        <v>315676000</v>
      </c>
      <c r="K29" s="474">
        <f t="shared" si="12"/>
        <v>3599000</v>
      </c>
      <c r="L29" s="109">
        <f t="shared" si="12"/>
        <v>3591869960.3400006</v>
      </c>
      <c r="M29" s="107">
        <f t="shared" si="12"/>
        <v>1405389309.4699998</v>
      </c>
      <c r="N29" s="155">
        <f t="shared" si="12"/>
        <v>3053708850.8599997</v>
      </c>
      <c r="O29" s="155">
        <f t="shared" si="12"/>
        <v>1001382903.2600001</v>
      </c>
      <c r="P29" s="155">
        <f t="shared" si="12"/>
        <v>243864.57</v>
      </c>
      <c r="Q29" s="155">
        <f t="shared" si="12"/>
        <v>0</v>
      </c>
      <c r="R29" s="155">
        <f t="shared" si="12"/>
        <v>291338100</v>
      </c>
      <c r="S29" s="155">
        <f t="shared" si="12"/>
        <v>82871028.709999993</v>
      </c>
      <c r="T29" s="155">
        <f t="shared" si="12"/>
        <v>0</v>
      </c>
      <c r="U29" s="155">
        <f t="shared" si="12"/>
        <v>0</v>
      </c>
      <c r="V29" s="155">
        <f t="shared" si="12"/>
        <v>5982800</v>
      </c>
      <c r="W29" s="155">
        <f t="shared" si="12"/>
        <v>0</v>
      </c>
      <c r="X29" s="155">
        <f t="shared" si="12"/>
        <v>0</v>
      </c>
      <c r="Y29" s="155">
        <f t="shared" si="12"/>
        <v>0</v>
      </c>
      <c r="Z29" s="155">
        <f t="shared" si="12"/>
        <v>0</v>
      </c>
      <c r="AA29" s="155">
        <f t="shared" si="12"/>
        <v>0</v>
      </c>
      <c r="AB29" s="155">
        <f t="shared" si="12"/>
        <v>82494836.710000008</v>
      </c>
      <c r="AC29" s="155">
        <f t="shared" si="12"/>
        <v>0</v>
      </c>
      <c r="AD29" s="155">
        <f t="shared" si="12"/>
        <v>4365720.21</v>
      </c>
      <c r="AE29" s="155">
        <f t="shared" si="12"/>
        <v>622691.93000000005</v>
      </c>
      <c r="AF29" s="155">
        <f t="shared" si="12"/>
        <v>0</v>
      </c>
      <c r="AG29" s="155">
        <f t="shared" si="12"/>
        <v>0</v>
      </c>
      <c r="AH29" s="113">
        <f t="shared" si="12"/>
        <v>234131380.22999999</v>
      </c>
      <c r="AI29" s="116">
        <f t="shared" si="12"/>
        <v>50526359.969999999</v>
      </c>
      <c r="AJ29" s="155">
        <f t="shared" si="12"/>
        <v>75265211.599999994</v>
      </c>
      <c r="AK29" s="155">
        <f t="shared" si="12"/>
        <v>0</v>
      </c>
      <c r="AL29" s="155">
        <f t="shared" si="12"/>
        <v>0</v>
      </c>
      <c r="AM29" s="155">
        <f t="shared" si="12"/>
        <v>0</v>
      </c>
      <c r="AN29" s="155">
        <f t="shared" si="12"/>
        <v>167793311.36000001</v>
      </c>
      <c r="AO29" s="155">
        <f t="shared" si="12"/>
        <v>144222088.74000001</v>
      </c>
      <c r="AP29" s="113">
        <f t="shared" si="12"/>
        <v>2500000</v>
      </c>
      <c r="AQ29" s="116">
        <f t="shared" si="12"/>
        <v>0</v>
      </c>
      <c r="AR29" s="113">
        <f t="shared" si="12"/>
        <v>21850000</v>
      </c>
      <c r="AS29" s="116">
        <f t="shared" si="12"/>
        <v>563268.53</v>
      </c>
      <c r="AT29" s="155">
        <f t="shared" si="12"/>
        <v>0</v>
      </c>
      <c r="AU29" s="155">
        <f t="shared" si="12"/>
        <v>0</v>
      </c>
      <c r="AV29" s="155">
        <f t="shared" si="12"/>
        <v>36716.63999999997</v>
      </c>
      <c r="AW29" s="155">
        <f t="shared" si="12"/>
        <v>0</v>
      </c>
      <c r="AX29" s="155">
        <f t="shared" si="12"/>
        <v>6341171.7000000002</v>
      </c>
      <c r="AY29" s="155">
        <f t="shared" si="12"/>
        <v>0</v>
      </c>
      <c r="AZ29" s="155">
        <f t="shared" si="12"/>
        <v>4382056.9399999995</v>
      </c>
      <c r="BA29" s="155">
        <f t="shared" si="12"/>
        <v>0</v>
      </c>
      <c r="BB29" s="155">
        <f t="shared" si="12"/>
        <v>29785800</v>
      </c>
      <c r="BC29" s="155">
        <f t="shared" si="12"/>
        <v>15621406.539999999</v>
      </c>
      <c r="BD29" s="155">
        <f t="shared" si="12"/>
        <v>4757600</v>
      </c>
      <c r="BE29" s="155">
        <f t="shared" si="12"/>
        <v>484797.61</v>
      </c>
      <c r="BF29" s="155">
        <f t="shared" si="12"/>
        <v>0</v>
      </c>
      <c r="BG29" s="155">
        <f t="shared" si="12"/>
        <v>0</v>
      </c>
      <c r="BH29" s="155">
        <f t="shared" si="12"/>
        <v>166970819.07999995</v>
      </c>
      <c r="BI29" s="155">
        <f t="shared" si="12"/>
        <v>1991512.16</v>
      </c>
      <c r="BJ29" s="155">
        <f t="shared" si="12"/>
        <v>0</v>
      </c>
      <c r="BK29" s="155">
        <f t="shared" si="12"/>
        <v>0</v>
      </c>
      <c r="BL29" s="155">
        <f t="shared" si="12"/>
        <v>248560414.10999998</v>
      </c>
      <c r="BM29" s="155">
        <f t="shared" si="12"/>
        <v>69674867.719999999</v>
      </c>
      <c r="BN29" s="155">
        <f t="shared" si="12"/>
        <v>8932514.2699999996</v>
      </c>
      <c r="BO29" s="155">
        <f t="shared" si="12"/>
        <v>1185621.1599999999</v>
      </c>
      <c r="BP29" s="155">
        <f t="shared" si="12"/>
        <v>160369500</v>
      </c>
      <c r="BQ29" s="155">
        <f t="shared" si="12"/>
        <v>37926291.490000002</v>
      </c>
      <c r="BR29" s="155">
        <f t="shared" si="12"/>
        <v>0</v>
      </c>
      <c r="BS29" s="155">
        <f t="shared" si="12"/>
        <v>0</v>
      </c>
      <c r="BT29" s="155">
        <f t="shared" si="12"/>
        <v>0</v>
      </c>
      <c r="BU29" s="155">
        <f t="shared" si="12"/>
        <v>0</v>
      </c>
      <c r="BV29" s="155">
        <f t="shared" ref="BV29:DE29" si="14">SUM(BV11:BV28)</f>
        <v>0</v>
      </c>
      <c r="BW29" s="155">
        <f t="shared" si="14"/>
        <v>0</v>
      </c>
      <c r="BX29" s="155">
        <f t="shared" si="14"/>
        <v>75218600</v>
      </c>
      <c r="BY29" s="155">
        <f t="shared" si="14"/>
        <v>953114.46</v>
      </c>
      <c r="BZ29" s="155">
        <f t="shared" si="14"/>
        <v>0</v>
      </c>
      <c r="CA29" s="155">
        <f t="shared" si="14"/>
        <v>0</v>
      </c>
      <c r="CB29" s="155">
        <f t="shared" si="14"/>
        <v>219498600</v>
      </c>
      <c r="CC29" s="155">
        <f t="shared" si="14"/>
        <v>28900057.550000001</v>
      </c>
      <c r="CD29" s="155">
        <f t="shared" si="14"/>
        <v>3243333.44</v>
      </c>
      <c r="CE29" s="155">
        <f t="shared" si="14"/>
        <v>0</v>
      </c>
      <c r="CF29" s="155">
        <f t="shared" si="14"/>
        <v>1239646500</v>
      </c>
      <c r="CG29" s="155">
        <f t="shared" si="14"/>
        <v>565839796.68999994</v>
      </c>
      <c r="CH29" s="155">
        <f t="shared" si="14"/>
        <v>234939640.48000002</v>
      </c>
      <c r="CI29" s="155">
        <f t="shared" si="14"/>
        <v>129677340.95999999</v>
      </c>
      <c r="CJ29" s="155">
        <f t="shared" si="14"/>
        <v>46452800</v>
      </c>
      <c r="CK29" s="155">
        <f t="shared" si="14"/>
        <v>15931132.43</v>
      </c>
      <c r="CL29" s="155">
        <f t="shared" si="14"/>
        <v>0</v>
      </c>
      <c r="CM29" s="155">
        <f t="shared" si="14"/>
        <v>0</v>
      </c>
      <c r="CN29" s="155">
        <f t="shared" si="14"/>
        <v>0</v>
      </c>
      <c r="CO29" s="155">
        <f t="shared" si="14"/>
        <v>0</v>
      </c>
      <c r="CP29" s="155">
        <f t="shared" si="14"/>
        <v>1553000</v>
      </c>
      <c r="CQ29" s="155">
        <f t="shared" si="14"/>
        <v>0</v>
      </c>
      <c r="CR29" s="155">
        <f t="shared" si="14"/>
        <v>0</v>
      </c>
      <c r="CS29" s="155">
        <f t="shared" si="14"/>
        <v>0</v>
      </c>
      <c r="CT29" s="155">
        <f t="shared" si="14"/>
        <v>171342840.47999999</v>
      </c>
      <c r="CU29" s="155">
        <f t="shared" si="14"/>
        <v>105726019.43999998</v>
      </c>
      <c r="CV29" s="155">
        <f t="shared" si="14"/>
        <v>15591000</v>
      </c>
      <c r="CW29" s="155">
        <f t="shared" si="14"/>
        <v>8020189.0899999999</v>
      </c>
      <c r="CX29" s="113">
        <f t="shared" si="14"/>
        <v>303221468.99999994</v>
      </c>
      <c r="CY29" s="116">
        <f t="shared" si="14"/>
        <v>274329065.25</v>
      </c>
      <c r="CZ29" s="155">
        <f t="shared" si="14"/>
        <v>0</v>
      </c>
      <c r="DA29" s="155">
        <f t="shared" si="14"/>
        <v>0</v>
      </c>
      <c r="DB29" s="155">
        <f t="shared" si="14"/>
        <v>36627760</v>
      </c>
      <c r="DC29" s="155">
        <f t="shared" si="14"/>
        <v>21785335.68</v>
      </c>
      <c r="DD29" s="155">
        <f t="shared" si="14"/>
        <v>266593709</v>
      </c>
      <c r="DE29" s="155">
        <f t="shared" si="14"/>
        <v>252543729.56999996</v>
      </c>
      <c r="DG29" s="456">
        <f t="shared" si="4"/>
        <v>188486.84048000001</v>
      </c>
      <c r="DH29" s="456">
        <f t="shared" si="4"/>
        <v>113746.20853</v>
      </c>
    </row>
    <row r="30" spans="1:112" ht="25.5" customHeight="1" x14ac:dyDescent="0.25">
      <c r="A30" s="54"/>
      <c r="B30" s="476"/>
      <c r="C30" s="429"/>
      <c r="D30" s="54"/>
      <c r="E30" s="476"/>
      <c r="F30" s="477"/>
      <c r="G30" s="477"/>
      <c r="H30" s="478"/>
      <c r="I30" s="477"/>
      <c r="J30" s="478"/>
      <c r="K30" s="477"/>
      <c r="L30" s="479"/>
      <c r="M30" s="126"/>
      <c r="N30" s="128"/>
      <c r="O30" s="126"/>
      <c r="P30" s="128"/>
      <c r="Q30" s="126"/>
      <c r="R30" s="128"/>
      <c r="S30" s="139"/>
      <c r="T30" s="128"/>
      <c r="U30" s="139"/>
      <c r="V30" s="128"/>
      <c r="W30" s="131"/>
      <c r="X30" s="122"/>
      <c r="Y30" s="137"/>
      <c r="Z30" s="122"/>
      <c r="AA30" s="137"/>
      <c r="AB30" s="122"/>
      <c r="AC30" s="137"/>
      <c r="AD30" s="122"/>
      <c r="AE30" s="137"/>
      <c r="AF30" s="122"/>
      <c r="AG30" s="137"/>
      <c r="AH30" s="122"/>
      <c r="AI30" s="137"/>
      <c r="AJ30" s="122"/>
      <c r="AK30" s="137"/>
      <c r="AL30" s="122"/>
      <c r="AM30" s="137"/>
      <c r="AN30" s="122"/>
      <c r="AO30" s="137"/>
      <c r="AP30" s="122"/>
      <c r="AQ30" s="137"/>
      <c r="AR30" s="128"/>
      <c r="AS30" s="137"/>
      <c r="AT30" s="128"/>
      <c r="AU30" s="137"/>
      <c r="AV30" s="122"/>
      <c r="AW30" s="137"/>
      <c r="AX30" s="122"/>
      <c r="AY30" s="137"/>
      <c r="AZ30" s="122"/>
      <c r="BA30" s="137"/>
      <c r="BB30" s="122"/>
      <c r="BC30" s="137"/>
      <c r="BD30" s="122"/>
      <c r="BE30" s="137"/>
      <c r="BF30" s="122"/>
      <c r="BG30" s="137"/>
      <c r="BH30" s="132"/>
      <c r="BI30" s="134"/>
      <c r="BJ30" s="122"/>
      <c r="BK30" s="137"/>
      <c r="BL30" s="122"/>
      <c r="BM30" s="137"/>
      <c r="BN30" s="122"/>
      <c r="BO30" s="137"/>
      <c r="BP30" s="122"/>
      <c r="BQ30" s="137"/>
      <c r="BR30" s="122"/>
      <c r="BS30" s="137"/>
      <c r="BT30" s="122"/>
      <c r="BU30" s="137"/>
      <c r="BV30" s="122"/>
      <c r="BW30" s="137"/>
      <c r="BX30" s="122"/>
      <c r="BY30" s="137"/>
      <c r="BZ30" s="122"/>
      <c r="CA30" s="137"/>
      <c r="CB30" s="122"/>
      <c r="CC30" s="137"/>
      <c r="CD30" s="122"/>
      <c r="CE30" s="137"/>
      <c r="CF30" s="122"/>
      <c r="CG30" s="137"/>
      <c r="CH30" s="480"/>
      <c r="CI30" s="120"/>
      <c r="CJ30" s="128"/>
      <c r="CK30" s="137"/>
      <c r="CL30" s="139"/>
      <c r="CM30" s="139"/>
      <c r="CN30" s="481"/>
      <c r="CO30" s="482"/>
      <c r="CP30" s="483"/>
      <c r="CQ30" s="482"/>
      <c r="CR30" s="483"/>
      <c r="CS30" s="482"/>
      <c r="CT30" s="122"/>
      <c r="CU30" s="126"/>
      <c r="CV30" s="122"/>
      <c r="CW30" s="126"/>
      <c r="CX30" s="484"/>
      <c r="CY30" s="120"/>
      <c r="CZ30" s="122"/>
      <c r="DA30" s="137"/>
      <c r="DB30" s="122"/>
      <c r="DC30" s="137"/>
      <c r="DD30" s="122"/>
      <c r="DE30" s="137"/>
      <c r="DG30" s="456">
        <f t="shared" si="4"/>
        <v>0</v>
      </c>
      <c r="DH30" s="456">
        <f t="shared" si="4"/>
        <v>0</v>
      </c>
    </row>
    <row r="31" spans="1:112" ht="25.5" customHeight="1" x14ac:dyDescent="0.25">
      <c r="A31" s="70" t="s">
        <v>1319</v>
      </c>
      <c r="B31" s="457">
        <f>D31+L31</f>
        <v>338722845.07000005</v>
      </c>
      <c r="C31" s="458">
        <f>E31+M31</f>
        <v>123010738.47999999</v>
      </c>
      <c r="D31" s="1048">
        <f t="shared" ref="D31:D32" si="15">F31+J31+H31</f>
        <v>37759000</v>
      </c>
      <c r="E31" s="1049">
        <f t="shared" ref="E31:E32" si="16">G31+K31+I31</f>
        <v>0</v>
      </c>
      <c r="F31" s="447">
        <f>'Проверочная  таблица'!BT33+'Проверочная  таблица'!BV33</f>
        <v>0</v>
      </c>
      <c r="G31" s="446">
        <f>'Проверочная  таблица'!BU33+'Проверочная  таблица'!BW33</f>
        <v>0</v>
      </c>
      <c r="H31" s="446">
        <f>'Проверочная  таблица'!CC33</f>
        <v>37759000</v>
      </c>
      <c r="I31" s="447">
        <f>'Проверочная  таблица'!CF33</f>
        <v>0</v>
      </c>
      <c r="J31" s="446">
        <f>'Проверочная  таблица'!CD33</f>
        <v>0</v>
      </c>
      <c r="K31" s="447">
        <f>'Проверочная  таблица'!CG33</f>
        <v>0</v>
      </c>
      <c r="L31" s="78">
        <f>N31+CH31+CX31</f>
        <v>300963845.07000005</v>
      </c>
      <c r="M31" s="73">
        <f>O31+CI31+CY31</f>
        <v>123010738.47999999</v>
      </c>
      <c r="N31" s="71">
        <f t="shared" ref="N31:N32" si="17">V31+BH31+AV31+BL31+BJ31+AT31+X31+BB31+AD31+P31+BN31+CB31+CF31+Z31+BD31+BF31+AB31+CD31+R31+BZ31+AJ31+BT31+BV31+AX31+T31+BX31+BR31+AZ31+AL31+AH31+AN31+AF31+AP31+AR31+BP31</f>
        <v>133407787.52000001</v>
      </c>
      <c r="O31" s="71">
        <f t="shared" ref="O31:O32" si="18">W31+BI31+AW31+BM31+BK31+AU31+Y31+BC31+AE31+Q31+BO31+CC31+CG31+AA31+BE31+BG31+AC31+CE31+S31+CA31+AK31+BU31+BW31+AY31+U31+BY31+BS31+BA31+AM31+AI31+AO31+AG31+AQ31+AS31+BQ31</f>
        <v>65859591.009999998</v>
      </c>
      <c r="P31" s="78">
        <f>'Проверочная  таблица'!CX33</f>
        <v>0</v>
      </c>
      <c r="Q31" s="73">
        <f>'Проверочная  таблица'!DE33</f>
        <v>0</v>
      </c>
      <c r="R31" s="78">
        <f>'Проверочная  таблица'!CZ33</f>
        <v>0</v>
      </c>
      <c r="S31" s="73">
        <f>'Проверочная  таблица'!DG33</f>
        <v>0</v>
      </c>
      <c r="T31" s="78">
        <f>'Проверочная  таблица'!DB33</f>
        <v>0</v>
      </c>
      <c r="U31" s="73">
        <f>'Проверочная  таблица'!DI33</f>
        <v>0</v>
      </c>
      <c r="V31" s="77">
        <f>'Проверочная  таблица'!ED33</f>
        <v>0</v>
      </c>
      <c r="W31" s="78">
        <f>'Проверочная  таблица'!EG33</f>
        <v>0</v>
      </c>
      <c r="X31" s="78">
        <f>'Проверочная  таблица'!EJ33</f>
        <v>0</v>
      </c>
      <c r="Y31" s="73">
        <f>'Проверочная  таблица'!EM33</f>
        <v>0</v>
      </c>
      <c r="Z31" s="78">
        <f>'Проверочная  таблица'!EQ33</f>
        <v>0</v>
      </c>
      <c r="AA31" s="73">
        <f>'Проверочная  таблица'!EU33</f>
        <v>0</v>
      </c>
      <c r="AB31" s="78">
        <f>'Проверочная  таблица'!EX33</f>
        <v>0</v>
      </c>
      <c r="AC31" s="73">
        <f>'Проверочная  таблица'!FA33</f>
        <v>0</v>
      </c>
      <c r="AD31" s="78">
        <f>'Проверочная  таблица'!FD33+'Проверочная  таблица'!FJ33</f>
        <v>0</v>
      </c>
      <c r="AE31" s="73">
        <f>'Проверочная  таблица'!FG33+'Проверочная  таблица'!FM33</f>
        <v>0</v>
      </c>
      <c r="AF31" s="78">
        <f>'Проверочная  таблица'!GB33</f>
        <v>0</v>
      </c>
      <c r="AG31" s="73">
        <f>'Проверочная  таблица'!GE33</f>
        <v>0</v>
      </c>
      <c r="AH31" s="78">
        <f>'Проверочная  таблица'!GH33+'Проверочная  таблица'!GN33</f>
        <v>0</v>
      </c>
      <c r="AI31" s="73">
        <f>'Проверочная  таблица'!GK33+'Проверочная  таблица'!GQ33</f>
        <v>0</v>
      </c>
      <c r="AJ31" s="78">
        <f>'Проверочная  таблица'!GX33</f>
        <v>0</v>
      </c>
      <c r="AK31" s="73">
        <f>'Проверочная  таблица'!HB33</f>
        <v>0</v>
      </c>
      <c r="AL31" s="78">
        <f>'Проверочная  таблица'!HN33</f>
        <v>0</v>
      </c>
      <c r="AM31" s="73">
        <f>'Проверочная  таблица'!HQ33</f>
        <v>0</v>
      </c>
      <c r="AN31" s="78">
        <f>'Проверочная  таблица'!HT33+'Проверочная  таблица'!HZ33</f>
        <v>0</v>
      </c>
      <c r="AO31" s="73">
        <f>'Проверочная  таблица'!HW33+'Проверочная  таблица'!IC33</f>
        <v>0</v>
      </c>
      <c r="AP31" s="78">
        <f>'Проверочная  таблица'!IR33+'Проверочная  таблица'!IX33</f>
        <v>0</v>
      </c>
      <c r="AQ31" s="73">
        <f>'Проверочная  таблица'!IU33+'Проверочная  таблица'!JA33</f>
        <v>0</v>
      </c>
      <c r="AR31" s="77">
        <f>'Проверочная  таблица'!JH33</f>
        <v>0</v>
      </c>
      <c r="AS31" s="73">
        <f>'Проверочная  таблица'!JK33</f>
        <v>0</v>
      </c>
      <c r="AT31" s="77">
        <f>'Проверочная  таблица'!JN33</f>
        <v>2488300</v>
      </c>
      <c r="AU31" s="73">
        <f>'Проверочная  таблица'!JQ33</f>
        <v>2488299.9900000002</v>
      </c>
      <c r="AV31" s="78">
        <f>'Проверочная  таблица'!JT33+'Проверочная  таблица'!JZ33</f>
        <v>0</v>
      </c>
      <c r="AW31" s="73">
        <f>'Проверочная  таблица'!JW33+'Проверочная  таблица'!KC33</f>
        <v>0</v>
      </c>
      <c r="AX31" s="78">
        <f>'Проверочная  таблица'!KR33+'Проверочная  таблица'!LB33</f>
        <v>826233.13</v>
      </c>
      <c r="AY31" s="73">
        <f>'Проверочная  таблица'!LG33+'Проверочная  таблица'!KW33</f>
        <v>0</v>
      </c>
      <c r="AZ31" s="78">
        <f>'Проверочная  таблица'!KT33+'Проверочная  таблица'!LD33</f>
        <v>35144.9</v>
      </c>
      <c r="BA31" s="73">
        <f>'Проверочная  таблица'!LI33+'Проверочная  таблица'!KY33</f>
        <v>0</v>
      </c>
      <c r="BB31" s="78">
        <f>'Проверочная  таблица'!LY33+'Проверочная  таблица'!MG33</f>
        <v>0</v>
      </c>
      <c r="BC31" s="73">
        <f>'Проверочная  таблица'!MK33+'Проверочная  таблица'!MC33</f>
        <v>0</v>
      </c>
      <c r="BD31" s="78">
        <f>'Проверочная  таблица'!NF33</f>
        <v>0</v>
      </c>
      <c r="BE31" s="73">
        <f>'Проверочная  таблица'!NN33</f>
        <v>0</v>
      </c>
      <c r="BF31" s="78">
        <f>'Проверочная  таблица'!ND33</f>
        <v>0</v>
      </c>
      <c r="BG31" s="73">
        <f>'Проверочная  таблица'!NL33</f>
        <v>0</v>
      </c>
      <c r="BH31" s="78">
        <f>'Проверочная  таблица'!NI33+'Проверочная  таблица'!NT33</f>
        <v>329409.49</v>
      </c>
      <c r="BI31" s="73">
        <f>'Проверочная  таблица'!NW33+'Проверочная  таблица'!NQ33</f>
        <v>0</v>
      </c>
      <c r="BJ31" s="78">
        <f>'Проверочная  таблица'!OL33</f>
        <v>0</v>
      </c>
      <c r="BK31" s="73">
        <f>'Проверочная  таблица'!OP33</f>
        <v>0</v>
      </c>
      <c r="BL31" s="78">
        <f>'Проверочная  таблица'!OT33+'Проверочная  таблица'!PB33</f>
        <v>29000000</v>
      </c>
      <c r="BM31" s="73">
        <f>'Проверочная  таблица'!OX33+'Проверочная  таблица'!PF33</f>
        <v>5877145.7999999998</v>
      </c>
      <c r="BN31" s="78">
        <f>'Проверочная  таблица'!QJ33+'Проверочная  таблица'!PZ33</f>
        <v>0</v>
      </c>
      <c r="BO31" s="73">
        <f>'Проверочная  таблица'!QM33+'Проверочная  таблица'!QE33</f>
        <v>0</v>
      </c>
      <c r="BP31" s="78"/>
      <c r="BQ31" s="73"/>
      <c r="BR31" s="78">
        <f>'Проверочная  таблица'!RB33</f>
        <v>0</v>
      </c>
      <c r="BS31" s="73">
        <f>'Проверочная  таблица'!RE33</f>
        <v>0</v>
      </c>
      <c r="BT31" s="78">
        <f>'Проверочная  таблица'!RH33+'Проверочная  таблица'!RN33</f>
        <v>0</v>
      </c>
      <c r="BU31" s="73">
        <f>'Проверочная  таблица'!RK33+'Проверочная  таблица'!RQ33</f>
        <v>0</v>
      </c>
      <c r="BV31" s="78">
        <f>'Проверочная  таблица'!SF33</f>
        <v>0</v>
      </c>
      <c r="BW31" s="73">
        <f>'Проверочная  таблица'!SI33</f>
        <v>0</v>
      </c>
      <c r="BX31" s="78">
        <f>'Проверочная  таблица'!SM33</f>
        <v>100728700</v>
      </c>
      <c r="BY31" s="73">
        <f>'Проверочная  таблица'!SQ33</f>
        <v>57494145.219999999</v>
      </c>
      <c r="BZ31" s="78">
        <f>'Проверочная  таблица'!ST33</f>
        <v>0</v>
      </c>
      <c r="CA31" s="73">
        <f>'Проверочная  таблица'!SW33</f>
        <v>0</v>
      </c>
      <c r="CB31" s="78">
        <f>'Проверочная  таблица'!TN33+'Проверочная  таблица'!SZ33</f>
        <v>0</v>
      </c>
      <c r="CC31" s="73">
        <f>'Проверочная  таблица'!TU33+'Проверочная  таблица'!TG33</f>
        <v>0</v>
      </c>
      <c r="CD31" s="78">
        <f>'Проверочная  таблица'!TB33+'Проверочная  таблица'!TP33</f>
        <v>0</v>
      </c>
      <c r="CE31" s="73">
        <f>'Проверочная  таблица'!TW33+'Проверочная  таблица'!TI33</f>
        <v>0</v>
      </c>
      <c r="CF31" s="78">
        <f>'Проверочная  таблица'!TR33+'Проверочная  таблица'!TD33</f>
        <v>0</v>
      </c>
      <c r="CG31" s="73">
        <f>'Проверочная  таблица'!TY33+'Проверочная  таблица'!TK33</f>
        <v>0</v>
      </c>
      <c r="CH31" s="78">
        <f t="shared" ref="CH31:CI32" si="19">CV31+CJ31+CP31+CL31+CN31+CR31+CT31</f>
        <v>40915438.710000001</v>
      </c>
      <c r="CI31" s="73">
        <f t="shared" si="19"/>
        <v>22171976</v>
      </c>
      <c r="CJ31" s="77">
        <f>'Проверочная  таблица'!VV33</f>
        <v>0</v>
      </c>
      <c r="CK31" s="73">
        <f>'Проверочная  таблица'!VW33</f>
        <v>0</v>
      </c>
      <c r="CL31" s="79">
        <f>'Проверочная  таблица'!VX33</f>
        <v>0</v>
      </c>
      <c r="CM31" s="79">
        <f>'Проверочная  таблица'!VY33</f>
        <v>0</v>
      </c>
      <c r="CN31" s="461">
        <f>'Проверочная  таблица'!VZ33</f>
        <v>0</v>
      </c>
      <c r="CO31" s="462">
        <f>'Проверочная  таблица'!WA33</f>
        <v>0</v>
      </c>
      <c r="CP31" s="485">
        <f>'Проверочная  таблица'!WB33</f>
        <v>0</v>
      </c>
      <c r="CQ31" s="462">
        <f>'Проверочная  таблица'!WC33</f>
        <v>0</v>
      </c>
      <c r="CR31" s="485">
        <f>'Проверочная  таблица'!WD33</f>
        <v>3069840</v>
      </c>
      <c r="CS31" s="462">
        <f>'Проверочная  таблица'!WE33</f>
        <v>1567098</v>
      </c>
      <c r="CT31" s="78">
        <f>'Проверочная  таблица'!WH33</f>
        <v>36730598.710000001</v>
      </c>
      <c r="CU31" s="73">
        <f>'Проверочная  таблица'!WK33</f>
        <v>19968878</v>
      </c>
      <c r="CV31" s="78">
        <f>'Проверочная  таблица'!WN33</f>
        <v>1115000</v>
      </c>
      <c r="CW31" s="73">
        <f>'Проверочная  таблица'!WQ33</f>
        <v>636000</v>
      </c>
      <c r="CX31" s="78">
        <f t="shared" ref="CX31:CY32" si="20">DD31+DB31+CZ31</f>
        <v>126640618.84</v>
      </c>
      <c r="CY31" s="73">
        <f t="shared" si="20"/>
        <v>34979171.469999999</v>
      </c>
      <c r="CZ31" s="78">
        <f>'Проверочная  таблица'!WV33</f>
        <v>91214000.659999996</v>
      </c>
      <c r="DA31" s="73">
        <f>'Проверочная  таблица'!WY33</f>
        <v>833244.57</v>
      </c>
      <c r="DB31" s="78">
        <f>'Проверочная  таблица'!XB33</f>
        <v>3073658.1799999997</v>
      </c>
      <c r="DC31" s="73">
        <f>'Проверочная  таблица'!XE33</f>
        <v>1792966.9</v>
      </c>
      <c r="DD31" s="78">
        <f>'Проверочная  таблица'!XH33</f>
        <v>32352960</v>
      </c>
      <c r="DE31" s="73">
        <f>'Проверочная  таблица'!XK33</f>
        <v>32352960</v>
      </c>
      <c r="DG31" s="456">
        <f t="shared" si="4"/>
        <v>40915.438710000002</v>
      </c>
      <c r="DH31" s="456">
        <f t="shared" si="4"/>
        <v>22171.975999999999</v>
      </c>
    </row>
    <row r="32" spans="1:112" ht="25.5" customHeight="1" thickBot="1" x14ac:dyDescent="0.3">
      <c r="A32" s="54" t="s">
        <v>1320</v>
      </c>
      <c r="B32" s="457">
        <f>D32+L32</f>
        <v>4329579357.9700003</v>
      </c>
      <c r="C32" s="458">
        <f>E32+M32</f>
        <v>1909079350.4099998</v>
      </c>
      <c r="D32" s="1048">
        <f t="shared" si="15"/>
        <v>0</v>
      </c>
      <c r="E32" s="1049">
        <f t="shared" si="16"/>
        <v>0</v>
      </c>
      <c r="F32" s="447">
        <f>'Проверочная  таблица'!BT34+'Проверочная  таблица'!BV34</f>
        <v>0</v>
      </c>
      <c r="G32" s="446">
        <f>'Проверочная  таблица'!BU34+'Проверочная  таблица'!BW34</f>
        <v>0</v>
      </c>
      <c r="H32" s="446">
        <f>'Проверочная  таблица'!CC34</f>
        <v>0</v>
      </c>
      <c r="I32" s="447">
        <f>'Проверочная  таблица'!CF34</f>
        <v>0</v>
      </c>
      <c r="J32" s="446">
        <f>'Проверочная  таблица'!CD34</f>
        <v>0</v>
      </c>
      <c r="K32" s="447">
        <f>'Проверочная  таблица'!CG34</f>
        <v>0</v>
      </c>
      <c r="L32" s="78">
        <f>N32+CH32+CX32</f>
        <v>4329579357.9700003</v>
      </c>
      <c r="M32" s="73">
        <f>O32+CI32+CY32</f>
        <v>1909079350.4099998</v>
      </c>
      <c r="N32" s="71">
        <f t="shared" si="17"/>
        <v>3908739524.3400002</v>
      </c>
      <c r="O32" s="71">
        <f t="shared" si="18"/>
        <v>1659720950.4099998</v>
      </c>
      <c r="P32" s="78">
        <f>'Проверочная  таблица'!CX34</f>
        <v>21770300</v>
      </c>
      <c r="Q32" s="73">
        <f>'Проверочная  таблица'!DE34</f>
        <v>0</v>
      </c>
      <c r="R32" s="78">
        <f>'Проверочная  таблица'!CZ34</f>
        <v>720202200</v>
      </c>
      <c r="S32" s="73">
        <f>'Проверочная  таблица'!DG34</f>
        <v>139394028.31</v>
      </c>
      <c r="T32" s="78">
        <f>'Проверочная  таблица'!DB34</f>
        <v>75345743.200000003</v>
      </c>
      <c r="U32" s="73">
        <f>'Проверочная  таблица'!DI34</f>
        <v>64798441.840000004</v>
      </c>
      <c r="V32" s="77">
        <f>'Проверочная  таблица'!ED34</f>
        <v>0</v>
      </c>
      <c r="W32" s="78">
        <f>'Проверочная  таблица'!EG34</f>
        <v>0</v>
      </c>
      <c r="X32" s="78">
        <f>'Проверочная  таблица'!EJ34</f>
        <v>0</v>
      </c>
      <c r="Y32" s="73">
        <f>'Проверочная  таблица'!EM34</f>
        <v>0</v>
      </c>
      <c r="Z32" s="78">
        <f>'Проверочная  таблица'!EQ34</f>
        <v>844127500</v>
      </c>
      <c r="AA32" s="73">
        <f>'Проверочная  таблица'!EU34</f>
        <v>401718749.95999998</v>
      </c>
      <c r="AB32" s="78">
        <f>'Проверочная  таблица'!EX34</f>
        <v>115116800</v>
      </c>
      <c r="AC32" s="73">
        <f>'Проверочная  таблица'!FA34</f>
        <v>104137919.87</v>
      </c>
      <c r="AD32" s="78">
        <f>'Проверочная  таблица'!FD34+'Проверочная  таблица'!FJ34</f>
        <v>14320379.789999999</v>
      </c>
      <c r="AE32" s="73">
        <f>'Проверочная  таблица'!FG34+'Проверочная  таблица'!FM34</f>
        <v>0</v>
      </c>
      <c r="AF32" s="78">
        <f>'Проверочная  таблица'!GB34</f>
        <v>0</v>
      </c>
      <c r="AG32" s="73">
        <f>'Проверочная  таблица'!GE34</f>
        <v>0</v>
      </c>
      <c r="AH32" s="78">
        <f>'Проверочная  таблица'!GH34+'Проверочная  таблица'!GN34</f>
        <v>0</v>
      </c>
      <c r="AI32" s="73">
        <f>'Проверочная  таблица'!GK34+'Проверочная  таблица'!GQ34</f>
        <v>0</v>
      </c>
      <c r="AJ32" s="78">
        <f>'Проверочная  таблица'!GX34</f>
        <v>260033228.37</v>
      </c>
      <c r="AK32" s="73">
        <f>'Проверочная  таблица'!HB34</f>
        <v>140539200</v>
      </c>
      <c r="AL32" s="78">
        <f>'Проверочная  таблица'!HN34</f>
        <v>1404739120.51</v>
      </c>
      <c r="AM32" s="73">
        <f>'Проверочная  таблица'!HQ34</f>
        <v>572135749.15999997</v>
      </c>
      <c r="AN32" s="78">
        <f>'Проверочная  таблица'!HT34+'Проверочная  таблица'!HZ34</f>
        <v>0</v>
      </c>
      <c r="AO32" s="73">
        <f>'Проверочная  таблица'!HW34+'Проверочная  таблица'!IC34</f>
        <v>0</v>
      </c>
      <c r="AP32" s="78">
        <f>'Проверочная  таблица'!IR34+'Проверочная  таблица'!IX34</f>
        <v>0</v>
      </c>
      <c r="AQ32" s="73">
        <f>'Проверочная  таблица'!IU34+'Проверочная  таблица'!JA34</f>
        <v>0</v>
      </c>
      <c r="AR32" s="77">
        <f>'Проверочная  таблица'!JH34</f>
        <v>0</v>
      </c>
      <c r="AS32" s="73">
        <f>'Проверочная  таблица'!JK34</f>
        <v>0</v>
      </c>
      <c r="AT32" s="96">
        <f>'Проверочная  таблица'!JN34</f>
        <v>0</v>
      </c>
      <c r="AU32" s="91">
        <f>'Проверочная  таблица'!JQ34</f>
        <v>0</v>
      </c>
      <c r="AV32" s="78">
        <f>'Проверочная  таблица'!JT34+'Проверочная  таблица'!JZ34</f>
        <v>0</v>
      </c>
      <c r="AW32" s="73">
        <f>'Проверочная  таблица'!JW34+'Проверочная  таблица'!KC34</f>
        <v>0</v>
      </c>
      <c r="AX32" s="78">
        <f>'Проверочная  таблица'!KR34+'Проверочная  таблица'!LB34</f>
        <v>1888482.88</v>
      </c>
      <c r="AY32" s="73">
        <f>'Проверочная  таблица'!LG34+'Проверочная  таблица'!KW34</f>
        <v>0</v>
      </c>
      <c r="AZ32" s="78">
        <f>'Проверочная  таблица'!KT34+'Проверочная  таблица'!LD34</f>
        <v>2107198.16</v>
      </c>
      <c r="BA32" s="73">
        <f>'Проверочная  таблица'!LI34+'Проверочная  таблица'!KY34</f>
        <v>0</v>
      </c>
      <c r="BB32" s="78">
        <f>'Проверочная  таблица'!LY34+'Проверочная  таблица'!MG34</f>
        <v>0</v>
      </c>
      <c r="BC32" s="73">
        <f>'Проверочная  таблица'!MK34+'Проверочная  таблица'!MC34</f>
        <v>0</v>
      </c>
      <c r="BD32" s="78">
        <f>'Проверочная  таблица'!NF34</f>
        <v>0</v>
      </c>
      <c r="BE32" s="73">
        <f>'Проверочная  таблица'!NN34</f>
        <v>0</v>
      </c>
      <c r="BF32" s="78">
        <f>'Проверочная  таблица'!ND34</f>
        <v>0</v>
      </c>
      <c r="BG32" s="73">
        <f>'Проверочная  таблица'!NL34</f>
        <v>0</v>
      </c>
      <c r="BH32" s="147">
        <f>'Проверочная  таблица'!NI34+'Проверочная  таблица'!NT34</f>
        <v>892171.43</v>
      </c>
      <c r="BI32" s="71">
        <f>'Проверочная  таблица'!NW34+'Проверочная  таблица'!NQ34</f>
        <v>835026.43</v>
      </c>
      <c r="BJ32" s="78">
        <f>'Проверочная  таблица'!OL34</f>
        <v>0</v>
      </c>
      <c r="BK32" s="73">
        <f>'Проверочная  таблица'!OP34</f>
        <v>0</v>
      </c>
      <c r="BL32" s="78">
        <f>'Проверочная  таблица'!OT34+'Проверочная  таблица'!PB34</f>
        <v>139384500</v>
      </c>
      <c r="BM32" s="73">
        <f>'Проверочная  таблица'!OX34+'Проверочная  таблица'!PF34</f>
        <v>50829981.100000001</v>
      </c>
      <c r="BN32" s="78">
        <f>'Проверочная  таблица'!QJ34+'Проверочная  таблица'!PZ34</f>
        <v>0</v>
      </c>
      <c r="BO32" s="73">
        <f>'Проверочная  таблица'!QM34+'Проверочная  таблица'!QE34</f>
        <v>0</v>
      </c>
      <c r="BP32" s="78"/>
      <c r="BQ32" s="73"/>
      <c r="BR32" s="78">
        <f>'Проверочная  таблица'!RB34</f>
        <v>6625800</v>
      </c>
      <c r="BS32" s="73">
        <f>'Проверочная  таблица'!RE34</f>
        <v>1557847.01</v>
      </c>
      <c r="BT32" s="78">
        <f>'Проверочная  таблица'!RH34+'Проверочная  таблица'!RN34</f>
        <v>0</v>
      </c>
      <c r="BU32" s="73">
        <f>'Проверочная  таблица'!RK34+'Проверочная  таблица'!RQ34</f>
        <v>0</v>
      </c>
      <c r="BV32" s="78">
        <f>'Проверочная  таблица'!SF34</f>
        <v>0</v>
      </c>
      <c r="BW32" s="73">
        <f>'Проверочная  таблица'!SI34</f>
        <v>0</v>
      </c>
      <c r="BX32" s="78">
        <f>'Проверочная  таблица'!SM34</f>
        <v>302186100</v>
      </c>
      <c r="BY32" s="73">
        <f>'Проверочная  таблица'!SQ34</f>
        <v>183774006.72999999</v>
      </c>
      <c r="BZ32" s="78">
        <f>'Проверочная  таблица'!ST34</f>
        <v>0</v>
      </c>
      <c r="CA32" s="73">
        <f>'Проверочная  таблица'!SW34</f>
        <v>0</v>
      </c>
      <c r="CB32" s="78">
        <f>'Проверочная  таблица'!TN34+'Проверочная  таблица'!SZ34</f>
        <v>0</v>
      </c>
      <c r="CC32" s="73">
        <f>'Проверочная  таблица'!TU34+'Проверочная  таблица'!TG34</f>
        <v>0</v>
      </c>
      <c r="CD32" s="78">
        <f>'Проверочная  таблица'!TB34+'Проверочная  таблица'!TP34</f>
        <v>0</v>
      </c>
      <c r="CE32" s="73">
        <f>'Проверочная  таблица'!TW34+'Проверочная  таблица'!TI34</f>
        <v>0</v>
      </c>
      <c r="CF32" s="78">
        <f>'Проверочная  таблица'!TR34+'Проверочная  таблица'!TD34</f>
        <v>0</v>
      </c>
      <c r="CG32" s="73">
        <f>'Проверочная  таблица'!TY34+'Проверочная  таблица'!TK34</f>
        <v>0</v>
      </c>
      <c r="CH32" s="78">
        <f t="shared" si="19"/>
        <v>219408320.81</v>
      </c>
      <c r="CI32" s="73">
        <f t="shared" si="19"/>
        <v>116099200</v>
      </c>
      <c r="CJ32" s="77">
        <f>'Проверочная  таблица'!VV34</f>
        <v>0</v>
      </c>
      <c r="CK32" s="73">
        <f>'Проверочная  таблица'!VW34</f>
        <v>0</v>
      </c>
      <c r="CL32" s="79">
        <f>'Проверочная  таблица'!VX34</f>
        <v>63100</v>
      </c>
      <c r="CM32" s="79">
        <f>'Проверочная  таблица'!VY34</f>
        <v>0</v>
      </c>
      <c r="CN32" s="461">
        <f>'Проверочная  таблица'!VZ34</f>
        <v>0</v>
      </c>
      <c r="CO32" s="462">
        <f>'Проверочная  таблица'!WA34</f>
        <v>0</v>
      </c>
      <c r="CP32" s="485">
        <f>'Проверочная  таблица'!WB34</f>
        <v>0</v>
      </c>
      <c r="CQ32" s="462">
        <f>'Проверочная  таблица'!WC34</f>
        <v>0</v>
      </c>
      <c r="CR32" s="485">
        <f>'Проверочная  таблица'!WD34</f>
        <v>4604760</v>
      </c>
      <c r="CS32" s="462">
        <f>'Проверочная  таблица'!WE34</f>
        <v>1538000</v>
      </c>
      <c r="CT32" s="78">
        <f>'Проверочная  таблица'!WH34</f>
        <v>214740460.81</v>
      </c>
      <c r="CU32" s="73">
        <f>'Проверочная  таблица'!WK34</f>
        <v>114561200</v>
      </c>
      <c r="CV32" s="78">
        <f>'Проверочная  таблица'!WN34</f>
        <v>0</v>
      </c>
      <c r="CW32" s="73">
        <f>'Проверочная  таблица'!WQ34</f>
        <v>0</v>
      </c>
      <c r="CX32" s="78">
        <f t="shared" si="20"/>
        <v>201431512.81999999</v>
      </c>
      <c r="CY32" s="73">
        <f t="shared" si="20"/>
        <v>133259200</v>
      </c>
      <c r="CZ32" s="78">
        <f>'Проверочная  таблица'!WV34</f>
        <v>0</v>
      </c>
      <c r="DA32" s="73">
        <f>'Проверочная  таблица'!WY34</f>
        <v>0</v>
      </c>
      <c r="DB32" s="78">
        <f>'Проверочная  таблица'!XB34</f>
        <v>16659181.820000002</v>
      </c>
      <c r="DC32" s="73">
        <f>'Проверочная  таблица'!XE34</f>
        <v>11099200</v>
      </c>
      <c r="DD32" s="78">
        <f>'Проверочная  таблица'!XH34</f>
        <v>184772331</v>
      </c>
      <c r="DE32" s="73">
        <f>'Проверочная  таблица'!XK34</f>
        <v>122160000</v>
      </c>
      <c r="DG32" s="456">
        <f t="shared" si="4"/>
        <v>219408.32081</v>
      </c>
      <c r="DH32" s="456">
        <f t="shared" si="4"/>
        <v>116099.2</v>
      </c>
    </row>
    <row r="33" spans="1:112" ht="25.5" customHeight="1" thickBot="1" x14ac:dyDescent="0.3">
      <c r="A33" s="1104" t="s">
        <v>339</v>
      </c>
      <c r="B33" s="134">
        <f t="shared" ref="B33:E33" si="21">SUM(B31:B32)</f>
        <v>4668302203.04</v>
      </c>
      <c r="C33" s="136">
        <f t="shared" si="21"/>
        <v>2032090088.8899999</v>
      </c>
      <c r="D33" s="141">
        <f t="shared" si="21"/>
        <v>37759000</v>
      </c>
      <c r="E33" s="107">
        <f t="shared" si="21"/>
        <v>0</v>
      </c>
      <c r="F33" s="486">
        <f t="shared" ref="F33:U33" si="22">SUM(F31:F32)</f>
        <v>0</v>
      </c>
      <c r="G33" s="486">
        <f t="shared" si="22"/>
        <v>0</v>
      </c>
      <c r="H33" s="487">
        <f t="shared" ref="H33:I33" si="23">SUM(H31:H32)</f>
        <v>37759000</v>
      </c>
      <c r="I33" s="474">
        <f t="shared" si="23"/>
        <v>0</v>
      </c>
      <c r="J33" s="487">
        <f t="shared" si="22"/>
        <v>0</v>
      </c>
      <c r="K33" s="474">
        <f t="shared" si="22"/>
        <v>0</v>
      </c>
      <c r="L33" s="154">
        <f t="shared" si="22"/>
        <v>4630543203.04</v>
      </c>
      <c r="M33" s="107">
        <f t="shared" si="22"/>
        <v>2032090088.8899999</v>
      </c>
      <c r="N33" s="156">
        <f t="shared" si="22"/>
        <v>4042147311.8600001</v>
      </c>
      <c r="O33" s="107">
        <f t="shared" si="22"/>
        <v>1725580541.4199998</v>
      </c>
      <c r="P33" s="136">
        <f t="shared" si="22"/>
        <v>21770300</v>
      </c>
      <c r="Q33" s="134">
        <f t="shared" si="22"/>
        <v>0</v>
      </c>
      <c r="R33" s="136">
        <f t="shared" si="22"/>
        <v>720202200</v>
      </c>
      <c r="S33" s="134">
        <f t="shared" si="22"/>
        <v>139394028.31</v>
      </c>
      <c r="T33" s="136">
        <f t="shared" si="22"/>
        <v>75345743.200000003</v>
      </c>
      <c r="U33" s="107">
        <f t="shared" si="22"/>
        <v>64798441.840000004</v>
      </c>
      <c r="V33" s="156">
        <f>SUM(V31:V32)</f>
        <v>0</v>
      </c>
      <c r="W33" s="141">
        <f>SUM(W31:W32)</f>
        <v>0</v>
      </c>
      <c r="X33" s="154">
        <f t="shared" ref="X33:CK33" si="24">SUM(X31:X32)</f>
        <v>0</v>
      </c>
      <c r="Y33" s="107">
        <f t="shared" si="24"/>
        <v>0</v>
      </c>
      <c r="Z33" s="154">
        <f t="shared" si="24"/>
        <v>844127500</v>
      </c>
      <c r="AA33" s="107">
        <f t="shared" si="24"/>
        <v>401718749.95999998</v>
      </c>
      <c r="AB33" s="154">
        <f t="shared" si="24"/>
        <v>115116800</v>
      </c>
      <c r="AC33" s="107">
        <f t="shared" si="24"/>
        <v>104137919.87</v>
      </c>
      <c r="AD33" s="154">
        <f t="shared" si="24"/>
        <v>14320379.789999999</v>
      </c>
      <c r="AE33" s="107">
        <f t="shared" si="24"/>
        <v>0</v>
      </c>
      <c r="AF33" s="154">
        <f t="shared" si="24"/>
        <v>0</v>
      </c>
      <c r="AG33" s="107">
        <f t="shared" si="24"/>
        <v>0</v>
      </c>
      <c r="AH33" s="154">
        <f t="shared" si="24"/>
        <v>0</v>
      </c>
      <c r="AI33" s="107">
        <f t="shared" si="24"/>
        <v>0</v>
      </c>
      <c r="AJ33" s="154">
        <f t="shared" si="24"/>
        <v>260033228.37</v>
      </c>
      <c r="AK33" s="107">
        <f t="shared" si="24"/>
        <v>140539200</v>
      </c>
      <c r="AL33" s="154">
        <f t="shared" si="24"/>
        <v>1404739120.51</v>
      </c>
      <c r="AM33" s="107">
        <f t="shared" si="24"/>
        <v>572135749.15999997</v>
      </c>
      <c r="AN33" s="154">
        <f t="shared" si="24"/>
        <v>0</v>
      </c>
      <c r="AO33" s="107">
        <f t="shared" si="24"/>
        <v>0</v>
      </c>
      <c r="AP33" s="154">
        <f t="shared" si="24"/>
        <v>0</v>
      </c>
      <c r="AQ33" s="107">
        <f t="shared" si="24"/>
        <v>0</v>
      </c>
      <c r="AR33" s="156">
        <f t="shared" si="24"/>
        <v>0</v>
      </c>
      <c r="AS33" s="107">
        <f t="shared" si="24"/>
        <v>0</v>
      </c>
      <c r="AT33" s="156">
        <f t="shared" si="24"/>
        <v>2488300</v>
      </c>
      <c r="AU33" s="107">
        <f t="shared" si="24"/>
        <v>2488299.9900000002</v>
      </c>
      <c r="AV33" s="154">
        <f t="shared" si="24"/>
        <v>0</v>
      </c>
      <c r="AW33" s="107">
        <f t="shared" si="24"/>
        <v>0</v>
      </c>
      <c r="AX33" s="154">
        <f t="shared" si="24"/>
        <v>2714716.01</v>
      </c>
      <c r="AY33" s="107">
        <f t="shared" si="24"/>
        <v>0</v>
      </c>
      <c r="AZ33" s="154">
        <f t="shared" si="24"/>
        <v>2142343.06</v>
      </c>
      <c r="BA33" s="107">
        <f t="shared" si="24"/>
        <v>0</v>
      </c>
      <c r="BB33" s="154">
        <f t="shared" si="24"/>
        <v>0</v>
      </c>
      <c r="BC33" s="107">
        <f t="shared" si="24"/>
        <v>0</v>
      </c>
      <c r="BD33" s="154">
        <f t="shared" si="24"/>
        <v>0</v>
      </c>
      <c r="BE33" s="107">
        <f t="shared" si="24"/>
        <v>0</v>
      </c>
      <c r="BF33" s="154">
        <f t="shared" si="24"/>
        <v>0</v>
      </c>
      <c r="BG33" s="107">
        <f t="shared" si="24"/>
        <v>0</v>
      </c>
      <c r="BH33" s="154">
        <f>SUM(BH31:BH32)</f>
        <v>1221580.92</v>
      </c>
      <c r="BI33" s="134">
        <f>SUM(BI31:BI32)</f>
        <v>835026.43</v>
      </c>
      <c r="BJ33" s="154">
        <f t="shared" si="24"/>
        <v>0</v>
      </c>
      <c r="BK33" s="134">
        <f t="shared" si="24"/>
        <v>0</v>
      </c>
      <c r="BL33" s="154">
        <f t="shared" si="24"/>
        <v>168384500</v>
      </c>
      <c r="BM33" s="134">
        <f t="shared" si="24"/>
        <v>56707126.899999999</v>
      </c>
      <c r="BN33" s="154">
        <f t="shared" si="24"/>
        <v>0</v>
      </c>
      <c r="BO33" s="107">
        <f t="shared" si="24"/>
        <v>0</v>
      </c>
      <c r="BP33" s="154">
        <f t="shared" ref="BP33:BQ33" si="25">SUM(BP31:BP32)</f>
        <v>0</v>
      </c>
      <c r="BQ33" s="107">
        <f t="shared" si="25"/>
        <v>0</v>
      </c>
      <c r="BR33" s="154">
        <f t="shared" si="24"/>
        <v>6625800</v>
      </c>
      <c r="BS33" s="107">
        <f t="shared" si="24"/>
        <v>1557847.01</v>
      </c>
      <c r="BT33" s="154">
        <f t="shared" si="24"/>
        <v>0</v>
      </c>
      <c r="BU33" s="107">
        <f t="shared" si="24"/>
        <v>0</v>
      </c>
      <c r="BV33" s="154">
        <f t="shared" si="24"/>
        <v>0</v>
      </c>
      <c r="BW33" s="107">
        <f t="shared" si="24"/>
        <v>0</v>
      </c>
      <c r="BX33" s="154">
        <f t="shared" si="24"/>
        <v>402914800</v>
      </c>
      <c r="BY33" s="107">
        <f t="shared" si="24"/>
        <v>241268151.94999999</v>
      </c>
      <c r="BZ33" s="154">
        <f t="shared" si="24"/>
        <v>0</v>
      </c>
      <c r="CA33" s="107">
        <f t="shared" si="24"/>
        <v>0</v>
      </c>
      <c r="CB33" s="154">
        <f t="shared" si="24"/>
        <v>0</v>
      </c>
      <c r="CC33" s="107">
        <f t="shared" si="24"/>
        <v>0</v>
      </c>
      <c r="CD33" s="154">
        <f t="shared" si="24"/>
        <v>0</v>
      </c>
      <c r="CE33" s="107">
        <f t="shared" si="24"/>
        <v>0</v>
      </c>
      <c r="CF33" s="154">
        <f t="shared" si="24"/>
        <v>0</v>
      </c>
      <c r="CG33" s="107">
        <f t="shared" si="24"/>
        <v>0</v>
      </c>
      <c r="CH33" s="154">
        <f t="shared" si="24"/>
        <v>260323759.52000001</v>
      </c>
      <c r="CI33" s="107">
        <f t="shared" si="24"/>
        <v>138271176</v>
      </c>
      <c r="CJ33" s="156">
        <f t="shared" si="24"/>
        <v>0</v>
      </c>
      <c r="CK33" s="134">
        <f t="shared" si="24"/>
        <v>0</v>
      </c>
      <c r="CL33" s="134">
        <f t="shared" ref="CL33:DE33" si="26">SUM(CL31:CL32)</f>
        <v>63100</v>
      </c>
      <c r="CM33" s="134">
        <f t="shared" si="26"/>
        <v>0</v>
      </c>
      <c r="CN33" s="154">
        <f t="shared" si="26"/>
        <v>0</v>
      </c>
      <c r="CO33" s="134">
        <f t="shared" si="26"/>
        <v>0</v>
      </c>
      <c r="CP33" s="155">
        <f t="shared" si="26"/>
        <v>0</v>
      </c>
      <c r="CQ33" s="134">
        <f t="shared" si="26"/>
        <v>0</v>
      </c>
      <c r="CR33" s="155">
        <f>SUM(CR31:CR32)</f>
        <v>7674600</v>
      </c>
      <c r="CS33" s="134">
        <f>SUM(CS31:CS32)</f>
        <v>3105098</v>
      </c>
      <c r="CT33" s="154">
        <f t="shared" ref="CT33:CU33" si="27">SUM(CT31:CT32)</f>
        <v>251471059.52000001</v>
      </c>
      <c r="CU33" s="107">
        <f t="shared" si="27"/>
        <v>134530078</v>
      </c>
      <c r="CV33" s="154">
        <f t="shared" si="26"/>
        <v>1115000</v>
      </c>
      <c r="CW33" s="107">
        <f t="shared" si="26"/>
        <v>636000</v>
      </c>
      <c r="CX33" s="156">
        <f t="shared" si="26"/>
        <v>328072131.65999997</v>
      </c>
      <c r="CY33" s="107">
        <f t="shared" si="26"/>
        <v>168238371.47</v>
      </c>
      <c r="CZ33" s="154">
        <f t="shared" si="26"/>
        <v>91214000.659999996</v>
      </c>
      <c r="DA33" s="107">
        <f t="shared" si="26"/>
        <v>833244.57</v>
      </c>
      <c r="DB33" s="154">
        <f t="shared" si="26"/>
        <v>19732840</v>
      </c>
      <c r="DC33" s="107">
        <f t="shared" si="26"/>
        <v>12892166.9</v>
      </c>
      <c r="DD33" s="154">
        <f t="shared" si="26"/>
        <v>217125291</v>
      </c>
      <c r="DE33" s="107">
        <f t="shared" si="26"/>
        <v>154512960</v>
      </c>
      <c r="DG33" s="456">
        <f t="shared" si="4"/>
        <v>260323.75952000002</v>
      </c>
      <c r="DH33" s="456">
        <f t="shared" si="4"/>
        <v>138271.17600000001</v>
      </c>
    </row>
    <row r="34" spans="1:112" ht="25.5" customHeight="1" x14ac:dyDescent="0.25">
      <c r="A34" s="37"/>
      <c r="B34" s="158"/>
      <c r="C34" s="163"/>
      <c r="D34" s="160"/>
      <c r="E34" s="158"/>
      <c r="F34" s="488"/>
      <c r="G34" s="488"/>
      <c r="H34" s="489"/>
      <c r="I34" s="488"/>
      <c r="J34" s="489"/>
      <c r="K34" s="488"/>
      <c r="L34" s="490"/>
      <c r="M34" s="490"/>
      <c r="N34" s="158"/>
      <c r="O34" s="158"/>
      <c r="P34" s="163"/>
      <c r="Q34" s="158"/>
      <c r="R34" s="163"/>
      <c r="S34" s="158"/>
      <c r="T34" s="163"/>
      <c r="U34" s="158"/>
      <c r="V34" s="165"/>
      <c r="W34" s="166"/>
      <c r="X34" s="167"/>
      <c r="Y34" s="168"/>
      <c r="Z34" s="167"/>
      <c r="AA34" s="168"/>
      <c r="AB34" s="167"/>
      <c r="AC34" s="168"/>
      <c r="AD34" s="167"/>
      <c r="AE34" s="168"/>
      <c r="AF34" s="167"/>
      <c r="AG34" s="168"/>
      <c r="AH34" s="167"/>
      <c r="AI34" s="168"/>
      <c r="AJ34" s="167"/>
      <c r="AK34" s="168"/>
      <c r="AL34" s="167"/>
      <c r="AM34" s="168"/>
      <c r="AN34" s="167"/>
      <c r="AO34" s="168"/>
      <c r="AP34" s="167"/>
      <c r="AQ34" s="168"/>
      <c r="AR34" s="165"/>
      <c r="AS34" s="168"/>
      <c r="AT34" s="165"/>
      <c r="AU34" s="168"/>
      <c r="AV34" s="167"/>
      <c r="AW34" s="168"/>
      <c r="AX34" s="167"/>
      <c r="AY34" s="168"/>
      <c r="AZ34" s="167"/>
      <c r="BA34" s="168"/>
      <c r="BB34" s="167"/>
      <c r="BC34" s="168"/>
      <c r="BD34" s="167"/>
      <c r="BE34" s="168"/>
      <c r="BF34" s="167"/>
      <c r="BG34" s="168"/>
      <c r="BH34" s="167"/>
      <c r="BI34" s="168"/>
      <c r="BJ34" s="167"/>
      <c r="BK34" s="168"/>
      <c r="BL34" s="167"/>
      <c r="BM34" s="168"/>
      <c r="BN34" s="167"/>
      <c r="BO34" s="168"/>
      <c r="BP34" s="167"/>
      <c r="BQ34" s="168"/>
      <c r="BR34" s="167"/>
      <c r="BS34" s="168"/>
      <c r="BT34" s="167"/>
      <c r="BU34" s="168"/>
      <c r="BV34" s="167"/>
      <c r="BW34" s="168"/>
      <c r="BX34" s="167"/>
      <c r="BY34" s="168"/>
      <c r="BZ34" s="167"/>
      <c r="CA34" s="168"/>
      <c r="CB34" s="167"/>
      <c r="CC34" s="168"/>
      <c r="CD34" s="167"/>
      <c r="CE34" s="168"/>
      <c r="CF34" s="167"/>
      <c r="CG34" s="168"/>
      <c r="CH34" s="491"/>
      <c r="CI34" s="492"/>
      <c r="CJ34" s="165"/>
      <c r="CK34" s="168"/>
      <c r="CL34" s="158"/>
      <c r="CM34" s="158"/>
      <c r="CN34" s="160"/>
      <c r="CO34" s="158"/>
      <c r="CP34" s="163"/>
      <c r="CQ34" s="158"/>
      <c r="CR34" s="163"/>
      <c r="CS34" s="158"/>
      <c r="CT34" s="166"/>
      <c r="CU34" s="170"/>
      <c r="CV34" s="166"/>
      <c r="CW34" s="170"/>
      <c r="CX34" s="202"/>
      <c r="CY34" s="492"/>
      <c r="CZ34" s="167"/>
      <c r="DA34" s="168"/>
      <c r="DB34" s="167"/>
      <c r="DC34" s="168"/>
      <c r="DD34" s="167"/>
      <c r="DE34" s="168"/>
      <c r="DG34" s="456">
        <f t="shared" si="4"/>
        <v>0</v>
      </c>
      <c r="DH34" s="456">
        <f t="shared" si="4"/>
        <v>0</v>
      </c>
    </row>
    <row r="35" spans="1:112" ht="25.5" customHeight="1" thickBot="1" x14ac:dyDescent="0.3">
      <c r="A35" s="1105"/>
      <c r="B35" s="172"/>
      <c r="C35" s="177"/>
      <c r="D35" s="174"/>
      <c r="E35" s="172"/>
      <c r="F35" s="493"/>
      <c r="G35" s="493"/>
      <c r="H35" s="494"/>
      <c r="I35" s="493"/>
      <c r="J35" s="494"/>
      <c r="K35" s="493"/>
      <c r="L35" s="495"/>
      <c r="M35" s="495"/>
      <c r="N35" s="172"/>
      <c r="O35" s="172"/>
      <c r="P35" s="177"/>
      <c r="Q35" s="172"/>
      <c r="R35" s="177"/>
      <c r="S35" s="172"/>
      <c r="T35" s="177"/>
      <c r="U35" s="172"/>
      <c r="V35" s="179"/>
      <c r="W35" s="180"/>
      <c r="X35" s="180"/>
      <c r="Y35" s="181"/>
      <c r="Z35" s="180"/>
      <c r="AA35" s="181"/>
      <c r="AB35" s="180"/>
      <c r="AC35" s="181"/>
      <c r="AD35" s="180"/>
      <c r="AE35" s="181"/>
      <c r="AF35" s="180"/>
      <c r="AG35" s="181"/>
      <c r="AH35" s="180"/>
      <c r="AI35" s="181"/>
      <c r="AJ35" s="180"/>
      <c r="AK35" s="181"/>
      <c r="AL35" s="180"/>
      <c r="AM35" s="181"/>
      <c r="AN35" s="180"/>
      <c r="AO35" s="181"/>
      <c r="AP35" s="180"/>
      <c r="AQ35" s="181"/>
      <c r="AR35" s="179"/>
      <c r="AS35" s="181"/>
      <c r="AT35" s="179"/>
      <c r="AU35" s="181"/>
      <c r="AV35" s="180"/>
      <c r="AW35" s="181"/>
      <c r="AX35" s="180"/>
      <c r="AY35" s="181"/>
      <c r="AZ35" s="180"/>
      <c r="BA35" s="181"/>
      <c r="BB35" s="180"/>
      <c r="BC35" s="181"/>
      <c r="BD35" s="180"/>
      <c r="BE35" s="181"/>
      <c r="BF35" s="180"/>
      <c r="BG35" s="181"/>
      <c r="BH35" s="180"/>
      <c r="BI35" s="181"/>
      <c r="BJ35" s="180"/>
      <c r="BK35" s="181"/>
      <c r="BL35" s="180"/>
      <c r="BM35" s="181"/>
      <c r="BN35" s="180"/>
      <c r="BO35" s="181"/>
      <c r="BP35" s="180"/>
      <c r="BQ35" s="181"/>
      <c r="BR35" s="180"/>
      <c r="BS35" s="181"/>
      <c r="BT35" s="180"/>
      <c r="BU35" s="181"/>
      <c r="BV35" s="180"/>
      <c r="BW35" s="181"/>
      <c r="BX35" s="180"/>
      <c r="BY35" s="181"/>
      <c r="BZ35" s="180"/>
      <c r="CA35" s="181"/>
      <c r="CB35" s="180"/>
      <c r="CC35" s="181"/>
      <c r="CD35" s="180"/>
      <c r="CE35" s="181"/>
      <c r="CF35" s="180"/>
      <c r="CG35" s="181"/>
      <c r="CH35" s="174"/>
      <c r="CI35" s="172"/>
      <c r="CJ35" s="179"/>
      <c r="CK35" s="181"/>
      <c r="CL35" s="172"/>
      <c r="CM35" s="172"/>
      <c r="CN35" s="174"/>
      <c r="CO35" s="172"/>
      <c r="CP35" s="177"/>
      <c r="CQ35" s="172"/>
      <c r="CR35" s="177"/>
      <c r="CS35" s="172"/>
      <c r="CT35" s="180"/>
      <c r="CU35" s="181"/>
      <c r="CV35" s="180"/>
      <c r="CW35" s="181"/>
      <c r="CX35" s="177"/>
      <c r="CY35" s="172"/>
      <c r="CZ35" s="180"/>
      <c r="DA35" s="181"/>
      <c r="DB35" s="180"/>
      <c r="DC35" s="181"/>
      <c r="DD35" s="180"/>
      <c r="DE35" s="181"/>
      <c r="DG35" s="456">
        <f t="shared" si="4"/>
        <v>0</v>
      </c>
      <c r="DH35" s="456">
        <f t="shared" si="4"/>
        <v>0</v>
      </c>
    </row>
    <row r="36" spans="1:112" ht="25.5" customHeight="1" thickBot="1" x14ac:dyDescent="0.3">
      <c r="A36" s="1104" t="s">
        <v>8</v>
      </c>
      <c r="B36" s="189">
        <f t="shared" ref="B36:U36" si="28">B29+B33</f>
        <v>9441523893.1599998</v>
      </c>
      <c r="C36" s="190">
        <f t="shared" si="28"/>
        <v>3441078398.3599997</v>
      </c>
      <c r="D36" s="185">
        <f t="shared" si="28"/>
        <v>1219110729.7800002</v>
      </c>
      <c r="E36" s="189">
        <f t="shared" si="28"/>
        <v>3599000</v>
      </c>
      <c r="F36" s="496">
        <f t="shared" si="28"/>
        <v>0</v>
      </c>
      <c r="G36" s="496">
        <f t="shared" si="28"/>
        <v>0</v>
      </c>
      <c r="H36" s="497">
        <f t="shared" ref="H36:I36" si="29">H29+H33</f>
        <v>903434729.78000021</v>
      </c>
      <c r="I36" s="496">
        <f t="shared" si="29"/>
        <v>0</v>
      </c>
      <c r="J36" s="497">
        <f t="shared" si="28"/>
        <v>315676000</v>
      </c>
      <c r="K36" s="496">
        <f t="shared" si="28"/>
        <v>3599000</v>
      </c>
      <c r="L36" s="193">
        <f t="shared" si="28"/>
        <v>8222413163.3800011</v>
      </c>
      <c r="M36" s="193">
        <f t="shared" si="28"/>
        <v>3437479398.3599997</v>
      </c>
      <c r="N36" s="183">
        <f t="shared" si="28"/>
        <v>7095856162.7199993</v>
      </c>
      <c r="O36" s="183">
        <f t="shared" si="28"/>
        <v>2726963444.6799998</v>
      </c>
      <c r="P36" s="190">
        <f t="shared" si="28"/>
        <v>22014164.57</v>
      </c>
      <c r="Q36" s="189">
        <f t="shared" si="28"/>
        <v>0</v>
      </c>
      <c r="R36" s="190">
        <f t="shared" si="28"/>
        <v>1011540300</v>
      </c>
      <c r="S36" s="189">
        <f t="shared" si="28"/>
        <v>222265057.01999998</v>
      </c>
      <c r="T36" s="190">
        <f t="shared" si="28"/>
        <v>75345743.200000003</v>
      </c>
      <c r="U36" s="189">
        <f t="shared" si="28"/>
        <v>64798441.840000004</v>
      </c>
      <c r="V36" s="192">
        <f>V29+V33</f>
        <v>5982800</v>
      </c>
      <c r="W36" s="193">
        <f>W29+W33</f>
        <v>0</v>
      </c>
      <c r="X36" s="193">
        <f t="shared" ref="X36:Y36" si="30">X29+X33</f>
        <v>0</v>
      </c>
      <c r="Y36" s="194">
        <f t="shared" si="30"/>
        <v>0</v>
      </c>
      <c r="Z36" s="193">
        <f>Z29+Z33</f>
        <v>844127500</v>
      </c>
      <c r="AA36" s="194">
        <f>AA29+AA33</f>
        <v>401718749.95999998</v>
      </c>
      <c r="AB36" s="193">
        <f t="shared" ref="AB36:BA36" si="31">AB29+AB33</f>
        <v>197611636.71000001</v>
      </c>
      <c r="AC36" s="194">
        <f t="shared" si="31"/>
        <v>104137919.87</v>
      </c>
      <c r="AD36" s="193">
        <f t="shared" si="31"/>
        <v>18686100</v>
      </c>
      <c r="AE36" s="194">
        <f t="shared" si="31"/>
        <v>622691.93000000005</v>
      </c>
      <c r="AF36" s="193">
        <f t="shared" si="31"/>
        <v>0</v>
      </c>
      <c r="AG36" s="194">
        <f t="shared" si="31"/>
        <v>0</v>
      </c>
      <c r="AH36" s="193">
        <f t="shared" si="31"/>
        <v>234131380.22999999</v>
      </c>
      <c r="AI36" s="194">
        <f t="shared" si="31"/>
        <v>50526359.969999999</v>
      </c>
      <c r="AJ36" s="193">
        <f t="shared" si="31"/>
        <v>335298439.97000003</v>
      </c>
      <c r="AK36" s="194">
        <f t="shared" si="31"/>
        <v>140539200</v>
      </c>
      <c r="AL36" s="193">
        <f t="shared" si="31"/>
        <v>1404739120.51</v>
      </c>
      <c r="AM36" s="194">
        <f t="shared" si="31"/>
        <v>572135749.15999997</v>
      </c>
      <c r="AN36" s="193">
        <f t="shared" si="31"/>
        <v>167793311.36000001</v>
      </c>
      <c r="AO36" s="194">
        <f t="shared" si="31"/>
        <v>144222088.74000001</v>
      </c>
      <c r="AP36" s="193">
        <f t="shared" si="31"/>
        <v>2500000</v>
      </c>
      <c r="AQ36" s="194">
        <f t="shared" si="31"/>
        <v>0</v>
      </c>
      <c r="AR36" s="192">
        <f t="shared" si="31"/>
        <v>21850000</v>
      </c>
      <c r="AS36" s="194">
        <f t="shared" si="31"/>
        <v>563268.53</v>
      </c>
      <c r="AT36" s="192">
        <f t="shared" si="31"/>
        <v>2488300</v>
      </c>
      <c r="AU36" s="194">
        <f t="shared" si="31"/>
        <v>2488299.9900000002</v>
      </c>
      <c r="AV36" s="193">
        <f t="shared" si="31"/>
        <v>36716.63999999997</v>
      </c>
      <c r="AW36" s="194">
        <f t="shared" si="31"/>
        <v>0</v>
      </c>
      <c r="AX36" s="193">
        <f t="shared" si="31"/>
        <v>9055887.7100000009</v>
      </c>
      <c r="AY36" s="194">
        <f t="shared" si="31"/>
        <v>0</v>
      </c>
      <c r="AZ36" s="193">
        <f t="shared" si="31"/>
        <v>6524400</v>
      </c>
      <c r="BA36" s="194">
        <f t="shared" si="31"/>
        <v>0</v>
      </c>
      <c r="BB36" s="193">
        <f>BB29+BB33</f>
        <v>29785800</v>
      </c>
      <c r="BC36" s="194">
        <f>BC29+BC33</f>
        <v>15621406.539999999</v>
      </c>
      <c r="BD36" s="193">
        <f t="shared" ref="BD36:BE36" si="32">BD29+BD33</f>
        <v>4757600</v>
      </c>
      <c r="BE36" s="194">
        <f t="shared" si="32"/>
        <v>484797.61</v>
      </c>
      <c r="BF36" s="193">
        <f>BF29+BF33</f>
        <v>0</v>
      </c>
      <c r="BG36" s="194">
        <f>BG29+BG33</f>
        <v>0</v>
      </c>
      <c r="BH36" s="193">
        <f>BH29+BH33</f>
        <v>168192399.99999994</v>
      </c>
      <c r="BI36" s="194">
        <f>BI29+BI33</f>
        <v>2826538.59</v>
      </c>
      <c r="BJ36" s="193">
        <f t="shared" ref="BJ36:BM36" si="33">BJ29+BJ33</f>
        <v>0</v>
      </c>
      <c r="BK36" s="194">
        <f t="shared" si="33"/>
        <v>0</v>
      </c>
      <c r="BL36" s="193">
        <f t="shared" si="33"/>
        <v>416944914.11000001</v>
      </c>
      <c r="BM36" s="194">
        <f t="shared" si="33"/>
        <v>126381994.62</v>
      </c>
      <c r="BN36" s="193">
        <f>BN29+BN33</f>
        <v>8932514.2699999996</v>
      </c>
      <c r="BO36" s="194">
        <f>BO29+BO33</f>
        <v>1185621.1599999999</v>
      </c>
      <c r="BP36" s="193">
        <f t="shared" ref="BP36:BQ36" si="34">BP29+BP33</f>
        <v>160369500</v>
      </c>
      <c r="BQ36" s="194">
        <f t="shared" si="34"/>
        <v>37926291.490000002</v>
      </c>
      <c r="BR36" s="193">
        <f t="shared" ref="BR36:DE36" si="35">BR29+BR33</f>
        <v>6625800</v>
      </c>
      <c r="BS36" s="194">
        <f t="shared" si="35"/>
        <v>1557847.01</v>
      </c>
      <c r="BT36" s="193">
        <f t="shared" si="35"/>
        <v>0</v>
      </c>
      <c r="BU36" s="194">
        <f t="shared" si="35"/>
        <v>0</v>
      </c>
      <c r="BV36" s="193">
        <f t="shared" si="35"/>
        <v>0</v>
      </c>
      <c r="BW36" s="194">
        <f t="shared" si="35"/>
        <v>0</v>
      </c>
      <c r="BX36" s="193">
        <f t="shared" si="35"/>
        <v>478133400</v>
      </c>
      <c r="BY36" s="194">
        <f t="shared" si="35"/>
        <v>242221266.41</v>
      </c>
      <c r="BZ36" s="193">
        <f t="shared" si="35"/>
        <v>0</v>
      </c>
      <c r="CA36" s="194">
        <f t="shared" si="35"/>
        <v>0</v>
      </c>
      <c r="CB36" s="193">
        <f t="shared" si="35"/>
        <v>219498600</v>
      </c>
      <c r="CC36" s="194">
        <f t="shared" si="35"/>
        <v>28900057.550000001</v>
      </c>
      <c r="CD36" s="193">
        <f t="shared" si="35"/>
        <v>3243333.44</v>
      </c>
      <c r="CE36" s="194">
        <f t="shared" si="35"/>
        <v>0</v>
      </c>
      <c r="CF36" s="193">
        <f t="shared" si="35"/>
        <v>1239646500</v>
      </c>
      <c r="CG36" s="194">
        <f t="shared" si="35"/>
        <v>565839796.68999994</v>
      </c>
      <c r="CH36" s="185">
        <f t="shared" si="35"/>
        <v>495263400</v>
      </c>
      <c r="CI36" s="189">
        <f t="shared" si="35"/>
        <v>267948516.95999998</v>
      </c>
      <c r="CJ36" s="192">
        <f t="shared" si="35"/>
        <v>46452800</v>
      </c>
      <c r="CK36" s="194">
        <f t="shared" si="35"/>
        <v>15931132.43</v>
      </c>
      <c r="CL36" s="189">
        <f t="shared" si="35"/>
        <v>63100</v>
      </c>
      <c r="CM36" s="189">
        <f t="shared" si="35"/>
        <v>0</v>
      </c>
      <c r="CN36" s="185">
        <f t="shared" si="35"/>
        <v>0</v>
      </c>
      <c r="CO36" s="189">
        <f t="shared" si="35"/>
        <v>0</v>
      </c>
      <c r="CP36" s="190">
        <f t="shared" si="35"/>
        <v>1553000</v>
      </c>
      <c r="CQ36" s="189">
        <f t="shared" si="35"/>
        <v>0</v>
      </c>
      <c r="CR36" s="190">
        <f>CR29+CR33</f>
        <v>7674600</v>
      </c>
      <c r="CS36" s="189">
        <f>CS29+CS33</f>
        <v>3105098</v>
      </c>
      <c r="CT36" s="185">
        <f t="shared" ref="CT36:CU36" si="36">CT29+CT33</f>
        <v>422813900</v>
      </c>
      <c r="CU36" s="189">
        <f t="shared" si="36"/>
        <v>240256097.44</v>
      </c>
      <c r="CV36" s="185">
        <f t="shared" si="35"/>
        <v>16706000</v>
      </c>
      <c r="CW36" s="189">
        <f t="shared" si="35"/>
        <v>8656189.0899999999</v>
      </c>
      <c r="CX36" s="190">
        <f t="shared" si="35"/>
        <v>631293600.65999985</v>
      </c>
      <c r="CY36" s="189">
        <f t="shared" si="35"/>
        <v>442567436.72000003</v>
      </c>
      <c r="CZ36" s="193">
        <f t="shared" si="35"/>
        <v>91214000.659999996</v>
      </c>
      <c r="DA36" s="194">
        <f t="shared" si="35"/>
        <v>833244.57</v>
      </c>
      <c r="DB36" s="193">
        <f t="shared" si="35"/>
        <v>56360600</v>
      </c>
      <c r="DC36" s="194">
        <f t="shared" si="35"/>
        <v>34677502.579999998</v>
      </c>
      <c r="DD36" s="193">
        <f t="shared" si="35"/>
        <v>483719000</v>
      </c>
      <c r="DE36" s="194">
        <f t="shared" si="35"/>
        <v>407056689.56999993</v>
      </c>
      <c r="DG36" s="456">
        <f t="shared" si="4"/>
        <v>448810.6</v>
      </c>
      <c r="DH36" s="456">
        <f t="shared" si="4"/>
        <v>252017.38452999998</v>
      </c>
    </row>
    <row r="37" spans="1:112" s="202" customFormat="1" ht="16.5" customHeight="1" x14ac:dyDescent="0.25">
      <c r="A37" s="196"/>
      <c r="B37" s="196"/>
      <c r="C37" s="196"/>
      <c r="D37" s="498">
        <f>D36-Субсидия!D543</f>
        <v>865675729.78000021</v>
      </c>
      <c r="E37" s="498">
        <f>E36-Субсидия!F543</f>
        <v>0</v>
      </c>
      <c r="F37" s="200"/>
      <c r="G37" s="200"/>
      <c r="H37" s="199"/>
      <c r="I37" s="199"/>
      <c r="J37" s="199"/>
      <c r="K37" s="199"/>
      <c r="L37" s="200">
        <f>L36/1000-'Федеральные  средства'!B63</f>
        <v>0</v>
      </c>
      <c r="M37" s="200">
        <f>M36/1000-'Федеральные  средства'!C63</f>
        <v>0</v>
      </c>
      <c r="N37" s="200">
        <f>N36/1000-'Федеральные  средства'!B43</f>
        <v>0</v>
      </c>
      <c r="O37" s="200">
        <f>O36/1000-'Федеральные  средства'!C43</f>
        <v>0</v>
      </c>
      <c r="P37" s="199"/>
      <c r="Q37" s="199"/>
      <c r="R37" s="199"/>
      <c r="S37" s="199"/>
      <c r="T37" s="199"/>
      <c r="U37" s="199"/>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1"/>
      <c r="BR37" s="201"/>
      <c r="BS37" s="201"/>
      <c r="BT37" s="201"/>
      <c r="BU37" s="201"/>
      <c r="BV37" s="201"/>
      <c r="BW37" s="201"/>
      <c r="BX37" s="201"/>
      <c r="BY37" s="201"/>
      <c r="BZ37" s="201"/>
      <c r="CA37" s="201"/>
      <c r="CB37" s="201"/>
      <c r="CC37" s="201"/>
      <c r="CD37" s="201"/>
      <c r="CE37" s="201"/>
      <c r="CF37" s="201"/>
      <c r="CG37" s="201"/>
      <c r="CH37" s="200">
        <f>CH36/1000-'Федеральные  средства'!B54</f>
        <v>0</v>
      </c>
      <c r="CI37" s="200">
        <f>CI36/1000-'Федеральные  средства'!C54</f>
        <v>0</v>
      </c>
      <c r="CJ37" s="196"/>
      <c r="CK37" s="200"/>
      <c r="CL37" s="499"/>
      <c r="CM37" s="499"/>
      <c r="CN37" s="200"/>
      <c r="CO37" s="200"/>
      <c r="CP37" s="200"/>
      <c r="CQ37" s="200"/>
      <c r="CR37" s="200"/>
      <c r="CS37" s="200"/>
      <c r="CT37" s="196"/>
      <c r="CU37" s="196"/>
      <c r="CV37" s="196"/>
      <c r="CW37" s="196"/>
      <c r="CX37" s="200">
        <f>CX36/1000-'Федеральные  средства'!B61</f>
        <v>0</v>
      </c>
      <c r="CY37" s="200">
        <f>CY36/1000-'Федеральные  средства'!C61</f>
        <v>0</v>
      </c>
      <c r="CZ37" s="196"/>
      <c r="DA37" s="200"/>
      <c r="DB37" s="196"/>
      <c r="DC37" s="200"/>
      <c r="DD37" s="196"/>
      <c r="DE37" s="200"/>
    </row>
    <row r="38" spans="1:112" s="202" customFormat="1" ht="16.5" x14ac:dyDescent="0.25">
      <c r="A38" s="196"/>
      <c r="B38" s="196"/>
      <c r="C38" s="196"/>
      <c r="D38" s="196"/>
      <c r="E38" s="196"/>
      <c r="F38" s="200"/>
      <c r="G38" s="200"/>
      <c r="L38" s="200"/>
      <c r="M38" s="200"/>
      <c r="N38" s="200"/>
      <c r="O38" s="200"/>
      <c r="P38" s="199"/>
      <c r="Q38" s="199"/>
      <c r="R38" s="199"/>
      <c r="S38" s="199"/>
      <c r="T38" s="199"/>
      <c r="U38" s="199"/>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c r="CC38" s="201"/>
      <c r="CD38" s="201"/>
      <c r="CE38" s="201"/>
      <c r="CF38" s="201"/>
      <c r="CG38" s="201"/>
      <c r="CH38" s="200"/>
      <c r="CI38" s="200"/>
      <c r="CJ38" s="196"/>
      <c r="CK38" s="200"/>
      <c r="CL38" s="499"/>
      <c r="CM38" s="499"/>
      <c r="CN38" s="200"/>
      <c r="CO38" s="200"/>
      <c r="CP38" s="200"/>
      <c r="CQ38" s="200"/>
      <c r="CR38" s="200"/>
      <c r="CS38" s="200"/>
      <c r="CT38" s="196"/>
      <c r="CU38" s="196"/>
      <c r="CV38" s="196"/>
      <c r="CW38" s="196"/>
      <c r="CX38" s="200"/>
      <c r="CY38" s="200"/>
      <c r="CZ38" s="196"/>
      <c r="DA38" s="200"/>
      <c r="DB38" s="196"/>
      <c r="DC38" s="200"/>
      <c r="DD38" s="196"/>
      <c r="DE38" s="200"/>
    </row>
    <row r="39" spans="1:112" s="202" customFormat="1" ht="16.5" customHeight="1" x14ac:dyDescent="0.25">
      <c r="A39" s="500" t="s">
        <v>762</v>
      </c>
      <c r="B39" s="501">
        <f t="shared" ref="B39:K39" si="37">B29-B40</f>
        <v>3368966036.3399987</v>
      </c>
      <c r="C39" s="501">
        <f t="shared" si="37"/>
        <v>962516647.08999991</v>
      </c>
      <c r="D39" s="501">
        <f t="shared" si="37"/>
        <v>972600068.83000016</v>
      </c>
      <c r="E39" s="501">
        <f t="shared" si="37"/>
        <v>3599000</v>
      </c>
      <c r="F39" s="501">
        <f t="shared" si="37"/>
        <v>0</v>
      </c>
      <c r="G39" s="501">
        <f t="shared" si="37"/>
        <v>0</v>
      </c>
      <c r="H39" s="501">
        <f t="shared" ref="H39:I39" si="38">H29-H40</f>
        <v>722077068.83000016</v>
      </c>
      <c r="I39" s="501">
        <f t="shared" si="38"/>
        <v>0</v>
      </c>
      <c r="J39" s="501">
        <f t="shared" si="37"/>
        <v>250523000</v>
      </c>
      <c r="K39" s="501">
        <f t="shared" si="37"/>
        <v>3599000</v>
      </c>
      <c r="L39" s="501">
        <f>L29-L40</f>
        <v>2396365967.5100002</v>
      </c>
      <c r="M39" s="501">
        <f t="shared" ref="M39:CB39" si="39">M29-M40</f>
        <v>958917647.08999991</v>
      </c>
      <c r="N39" s="501">
        <f t="shared" si="39"/>
        <v>1943921180.0099995</v>
      </c>
      <c r="O39" s="501">
        <f t="shared" si="39"/>
        <v>617604995.67000008</v>
      </c>
      <c r="P39" s="501">
        <f t="shared" si="39"/>
        <v>243864.57</v>
      </c>
      <c r="Q39" s="501">
        <f t="shared" si="39"/>
        <v>0</v>
      </c>
      <c r="R39" s="501">
        <f t="shared" si="39"/>
        <v>291338100</v>
      </c>
      <c r="S39" s="501">
        <f t="shared" si="39"/>
        <v>82871028.709999993</v>
      </c>
      <c r="T39" s="501">
        <f t="shared" si="39"/>
        <v>0</v>
      </c>
      <c r="U39" s="501">
        <f t="shared" si="39"/>
        <v>0</v>
      </c>
      <c r="V39" s="501">
        <f t="shared" si="39"/>
        <v>5982800</v>
      </c>
      <c r="W39" s="501">
        <f t="shared" si="39"/>
        <v>0</v>
      </c>
      <c r="X39" s="501">
        <f t="shared" si="39"/>
        <v>0</v>
      </c>
      <c r="Y39" s="501">
        <f t="shared" si="39"/>
        <v>0</v>
      </c>
      <c r="Z39" s="501">
        <f t="shared" si="39"/>
        <v>0</v>
      </c>
      <c r="AA39" s="501">
        <f t="shared" si="39"/>
        <v>0</v>
      </c>
      <c r="AB39" s="501">
        <f t="shared" si="39"/>
        <v>82494836.710000008</v>
      </c>
      <c r="AC39" s="501">
        <f t="shared" si="39"/>
        <v>0</v>
      </c>
      <c r="AD39" s="501">
        <f t="shared" si="39"/>
        <v>2867774.1799999997</v>
      </c>
      <c r="AE39" s="501">
        <f t="shared" si="39"/>
        <v>622691.93000000005</v>
      </c>
      <c r="AF39" s="501">
        <f t="shared" si="39"/>
        <v>0</v>
      </c>
      <c r="AG39" s="501">
        <f t="shared" si="39"/>
        <v>0</v>
      </c>
      <c r="AH39" s="501">
        <f t="shared" si="39"/>
        <v>77044000</v>
      </c>
      <c r="AI39" s="501">
        <f t="shared" si="39"/>
        <v>0</v>
      </c>
      <c r="AJ39" s="501">
        <f t="shared" si="39"/>
        <v>75265211.599999994</v>
      </c>
      <c r="AK39" s="501">
        <f t="shared" si="39"/>
        <v>0</v>
      </c>
      <c r="AL39" s="501">
        <f t="shared" si="39"/>
        <v>0</v>
      </c>
      <c r="AM39" s="501">
        <f t="shared" si="39"/>
        <v>0</v>
      </c>
      <c r="AN39" s="501">
        <f t="shared" si="39"/>
        <v>167793311.36000001</v>
      </c>
      <c r="AO39" s="501">
        <f t="shared" si="39"/>
        <v>144222088.74000001</v>
      </c>
      <c r="AP39" s="501">
        <f t="shared" si="39"/>
        <v>2500000</v>
      </c>
      <c r="AQ39" s="501">
        <f t="shared" si="39"/>
        <v>0</v>
      </c>
      <c r="AR39" s="501">
        <f t="shared" si="39"/>
        <v>21850000</v>
      </c>
      <c r="AS39" s="501">
        <f t="shared" si="39"/>
        <v>563268.53</v>
      </c>
      <c r="AT39" s="501">
        <f t="shared" si="39"/>
        <v>0</v>
      </c>
      <c r="AU39" s="501">
        <f t="shared" si="39"/>
        <v>0</v>
      </c>
      <c r="AV39" s="501">
        <f t="shared" si="39"/>
        <v>36716.63999999997</v>
      </c>
      <c r="AW39" s="501">
        <f t="shared" si="39"/>
        <v>0</v>
      </c>
      <c r="AX39" s="501">
        <f t="shared" si="39"/>
        <v>4217728.0999999996</v>
      </c>
      <c r="AY39" s="501">
        <f t="shared" si="39"/>
        <v>0</v>
      </c>
      <c r="AZ39" s="501">
        <f t="shared" si="39"/>
        <v>4000370.1199999996</v>
      </c>
      <c r="BA39" s="501">
        <f t="shared" si="39"/>
        <v>0</v>
      </c>
      <c r="BB39" s="501">
        <f t="shared" si="39"/>
        <v>23885400</v>
      </c>
      <c r="BC39" s="501">
        <f t="shared" si="39"/>
        <v>15621406.539999999</v>
      </c>
      <c r="BD39" s="501">
        <f t="shared" si="39"/>
        <v>4757600</v>
      </c>
      <c r="BE39" s="501">
        <f t="shared" si="39"/>
        <v>484797.61</v>
      </c>
      <c r="BF39" s="501">
        <f t="shared" si="39"/>
        <v>0</v>
      </c>
      <c r="BG39" s="501">
        <f t="shared" si="39"/>
        <v>0</v>
      </c>
      <c r="BH39" s="501">
        <f t="shared" si="39"/>
        <v>166386247.80999994</v>
      </c>
      <c r="BI39" s="501">
        <f t="shared" si="39"/>
        <v>1525447.72</v>
      </c>
      <c r="BJ39" s="501">
        <f t="shared" si="39"/>
        <v>0</v>
      </c>
      <c r="BK39" s="501">
        <f t="shared" si="39"/>
        <v>0</v>
      </c>
      <c r="BL39" s="501">
        <f t="shared" si="39"/>
        <v>248560414.10999998</v>
      </c>
      <c r="BM39" s="501">
        <f t="shared" si="39"/>
        <v>69674867.719999999</v>
      </c>
      <c r="BN39" s="501">
        <f t="shared" si="39"/>
        <v>6042563.0800000001</v>
      </c>
      <c r="BO39" s="501">
        <f t="shared" si="39"/>
        <v>1185621.1599999999</v>
      </c>
      <c r="BP39" s="501">
        <f t="shared" si="39"/>
        <v>0</v>
      </c>
      <c r="BQ39" s="501">
        <f t="shared" si="39"/>
        <v>0</v>
      </c>
      <c r="BR39" s="501">
        <f t="shared" si="39"/>
        <v>0</v>
      </c>
      <c r="BS39" s="501">
        <f t="shared" si="39"/>
        <v>0</v>
      </c>
      <c r="BT39" s="501">
        <f t="shared" si="39"/>
        <v>0</v>
      </c>
      <c r="BU39" s="501">
        <f t="shared" si="39"/>
        <v>0</v>
      </c>
      <c r="BV39" s="501">
        <f t="shared" si="39"/>
        <v>0</v>
      </c>
      <c r="BW39" s="501">
        <f t="shared" si="39"/>
        <v>0</v>
      </c>
      <c r="BX39" s="501">
        <f t="shared" si="39"/>
        <v>75218600</v>
      </c>
      <c r="BY39" s="501">
        <f t="shared" si="39"/>
        <v>953114.46</v>
      </c>
      <c r="BZ39" s="501">
        <f t="shared" si="39"/>
        <v>0</v>
      </c>
      <c r="CA39" s="501">
        <f t="shared" si="39"/>
        <v>0</v>
      </c>
      <c r="CB39" s="501">
        <f t="shared" si="39"/>
        <v>101829241.72999999</v>
      </c>
      <c r="CC39" s="501">
        <f t="shared" ref="CC39:DE39" si="40">CC29-CC40</f>
        <v>20311372.230000004</v>
      </c>
      <c r="CD39" s="501">
        <f t="shared" si="40"/>
        <v>0</v>
      </c>
      <c r="CE39" s="501">
        <f t="shared" si="40"/>
        <v>0</v>
      </c>
      <c r="CF39" s="501">
        <f t="shared" si="40"/>
        <v>581606400</v>
      </c>
      <c r="CG39" s="501">
        <f t="shared" si="40"/>
        <v>279569290.31999993</v>
      </c>
      <c r="CH39" s="501">
        <f t="shared" si="40"/>
        <v>201541627.95000002</v>
      </c>
      <c r="CI39" s="501">
        <f t="shared" si="40"/>
        <v>114158160.33</v>
      </c>
      <c r="CJ39" s="501">
        <f t="shared" si="40"/>
        <v>36969300</v>
      </c>
      <c r="CK39" s="501">
        <f t="shared" si="40"/>
        <v>14961629.73</v>
      </c>
      <c r="CL39" s="501">
        <f t="shared" si="40"/>
        <v>0</v>
      </c>
      <c r="CM39" s="501">
        <f t="shared" si="40"/>
        <v>0</v>
      </c>
      <c r="CN39" s="501">
        <f t="shared" si="40"/>
        <v>0</v>
      </c>
      <c r="CO39" s="501">
        <f t="shared" si="40"/>
        <v>0</v>
      </c>
      <c r="CP39" s="501">
        <f t="shared" si="40"/>
        <v>1553000</v>
      </c>
      <c r="CQ39" s="501">
        <f t="shared" si="40"/>
        <v>0</v>
      </c>
      <c r="CR39" s="501">
        <f t="shared" si="40"/>
        <v>0</v>
      </c>
      <c r="CS39" s="501">
        <f t="shared" si="40"/>
        <v>0</v>
      </c>
      <c r="CT39" s="501">
        <f t="shared" si="40"/>
        <v>150678327.94999999</v>
      </c>
      <c r="CU39" s="501">
        <f t="shared" si="40"/>
        <v>92942826.399999976</v>
      </c>
      <c r="CV39" s="501">
        <f t="shared" si="40"/>
        <v>12341000</v>
      </c>
      <c r="CW39" s="501">
        <f t="shared" si="40"/>
        <v>6253704.2000000002</v>
      </c>
      <c r="CX39" s="501">
        <f t="shared" si="40"/>
        <v>250903159.54999995</v>
      </c>
      <c r="CY39" s="501">
        <f t="shared" si="40"/>
        <v>227154491.09</v>
      </c>
      <c r="CZ39" s="501">
        <f t="shared" si="40"/>
        <v>0</v>
      </c>
      <c r="DA39" s="501">
        <f t="shared" si="40"/>
        <v>0</v>
      </c>
      <c r="DB39" s="501">
        <f t="shared" si="40"/>
        <v>28943614.550000001</v>
      </c>
      <c r="DC39" s="501">
        <f t="shared" si="40"/>
        <v>16941624.52</v>
      </c>
      <c r="DD39" s="501">
        <f t="shared" si="40"/>
        <v>221959545</v>
      </c>
      <c r="DE39" s="501">
        <f t="shared" si="40"/>
        <v>210212866.56999996</v>
      </c>
    </row>
    <row r="40" spans="1:112" s="202" customFormat="1" ht="16.5" x14ac:dyDescent="0.25">
      <c r="A40" s="502" t="s">
        <v>763</v>
      </c>
      <c r="B40" s="503">
        <f t="shared" ref="B40:K40" si="41">B11+B15+B19+B24</f>
        <v>1404255653.7800002</v>
      </c>
      <c r="C40" s="503">
        <f t="shared" si="41"/>
        <v>446471662.37999994</v>
      </c>
      <c r="D40" s="503">
        <f t="shared" si="41"/>
        <v>208751660.94999999</v>
      </c>
      <c r="E40" s="503">
        <f t="shared" si="41"/>
        <v>0</v>
      </c>
      <c r="F40" s="503">
        <f t="shared" si="41"/>
        <v>0</v>
      </c>
      <c r="G40" s="503">
        <f t="shared" si="41"/>
        <v>0</v>
      </c>
      <c r="H40" s="503">
        <f t="shared" ref="H40:I40" si="42">H11+H15+H19+H24</f>
        <v>143598660.94999999</v>
      </c>
      <c r="I40" s="503">
        <f t="shared" si="42"/>
        <v>0</v>
      </c>
      <c r="J40" s="503">
        <f t="shared" si="41"/>
        <v>65153000</v>
      </c>
      <c r="K40" s="503">
        <f t="shared" si="41"/>
        <v>0</v>
      </c>
      <c r="L40" s="503">
        <f>L11+L15+L19+L24</f>
        <v>1195503992.8300002</v>
      </c>
      <c r="M40" s="503">
        <f t="shared" ref="M40:CB40" si="43">M11+M15+M19+M24</f>
        <v>446471662.37999994</v>
      </c>
      <c r="N40" s="503">
        <f t="shared" si="43"/>
        <v>1109787670.8500001</v>
      </c>
      <c r="O40" s="503">
        <f t="shared" si="43"/>
        <v>383777907.58999997</v>
      </c>
      <c r="P40" s="503">
        <f t="shared" si="43"/>
        <v>0</v>
      </c>
      <c r="Q40" s="503">
        <f t="shared" si="43"/>
        <v>0</v>
      </c>
      <c r="R40" s="503">
        <f t="shared" si="43"/>
        <v>0</v>
      </c>
      <c r="S40" s="503">
        <f t="shared" si="43"/>
        <v>0</v>
      </c>
      <c r="T40" s="503">
        <f t="shared" si="43"/>
        <v>0</v>
      </c>
      <c r="U40" s="503">
        <f t="shared" si="43"/>
        <v>0</v>
      </c>
      <c r="V40" s="503">
        <f t="shared" si="43"/>
        <v>0</v>
      </c>
      <c r="W40" s="503">
        <f t="shared" si="43"/>
        <v>0</v>
      </c>
      <c r="X40" s="503">
        <f t="shared" si="43"/>
        <v>0</v>
      </c>
      <c r="Y40" s="503">
        <f t="shared" si="43"/>
        <v>0</v>
      </c>
      <c r="Z40" s="503">
        <f t="shared" si="43"/>
        <v>0</v>
      </c>
      <c r="AA40" s="503">
        <f t="shared" si="43"/>
        <v>0</v>
      </c>
      <c r="AB40" s="503">
        <f t="shared" si="43"/>
        <v>0</v>
      </c>
      <c r="AC40" s="503">
        <f t="shared" si="43"/>
        <v>0</v>
      </c>
      <c r="AD40" s="503">
        <f t="shared" si="43"/>
        <v>1497946.03</v>
      </c>
      <c r="AE40" s="503">
        <f t="shared" si="43"/>
        <v>0</v>
      </c>
      <c r="AF40" s="503">
        <f t="shared" si="43"/>
        <v>0</v>
      </c>
      <c r="AG40" s="503">
        <f t="shared" si="43"/>
        <v>0</v>
      </c>
      <c r="AH40" s="503">
        <f t="shared" si="43"/>
        <v>157087380.22999999</v>
      </c>
      <c r="AI40" s="503">
        <f t="shared" si="43"/>
        <v>50526359.969999999</v>
      </c>
      <c r="AJ40" s="503">
        <f t="shared" si="43"/>
        <v>0</v>
      </c>
      <c r="AK40" s="503">
        <f t="shared" si="43"/>
        <v>0</v>
      </c>
      <c r="AL40" s="503">
        <f t="shared" si="43"/>
        <v>0</v>
      </c>
      <c r="AM40" s="503">
        <f t="shared" si="43"/>
        <v>0</v>
      </c>
      <c r="AN40" s="503">
        <f t="shared" si="43"/>
        <v>0</v>
      </c>
      <c r="AO40" s="503">
        <f t="shared" si="43"/>
        <v>0</v>
      </c>
      <c r="AP40" s="503">
        <f t="shared" si="43"/>
        <v>0</v>
      </c>
      <c r="AQ40" s="503">
        <f t="shared" si="43"/>
        <v>0</v>
      </c>
      <c r="AR40" s="503">
        <f t="shared" si="43"/>
        <v>0</v>
      </c>
      <c r="AS40" s="503">
        <f t="shared" si="43"/>
        <v>0</v>
      </c>
      <c r="AT40" s="503">
        <f t="shared" si="43"/>
        <v>0</v>
      </c>
      <c r="AU40" s="503">
        <f t="shared" si="43"/>
        <v>0</v>
      </c>
      <c r="AV40" s="503">
        <f t="shared" si="43"/>
        <v>0</v>
      </c>
      <c r="AW40" s="503">
        <f t="shared" si="43"/>
        <v>0</v>
      </c>
      <c r="AX40" s="503">
        <f t="shared" si="43"/>
        <v>2123443.6</v>
      </c>
      <c r="AY40" s="503">
        <f t="shared" si="43"/>
        <v>0</v>
      </c>
      <c r="AZ40" s="503">
        <f t="shared" si="43"/>
        <v>381686.82</v>
      </c>
      <c r="BA40" s="503">
        <f t="shared" si="43"/>
        <v>0</v>
      </c>
      <c r="BB40" s="503">
        <f t="shared" si="43"/>
        <v>5900400</v>
      </c>
      <c r="BC40" s="503">
        <f t="shared" si="43"/>
        <v>0</v>
      </c>
      <c r="BD40" s="503">
        <f t="shared" si="43"/>
        <v>0</v>
      </c>
      <c r="BE40" s="503">
        <f t="shared" si="43"/>
        <v>0</v>
      </c>
      <c r="BF40" s="503">
        <f t="shared" si="43"/>
        <v>0</v>
      </c>
      <c r="BG40" s="503">
        <f t="shared" si="43"/>
        <v>0</v>
      </c>
      <c r="BH40" s="503">
        <f t="shared" si="43"/>
        <v>584571.27</v>
      </c>
      <c r="BI40" s="503">
        <f t="shared" si="43"/>
        <v>466064.43999999994</v>
      </c>
      <c r="BJ40" s="503">
        <f t="shared" si="43"/>
        <v>0</v>
      </c>
      <c r="BK40" s="503">
        <f t="shared" si="43"/>
        <v>0</v>
      </c>
      <c r="BL40" s="503">
        <f t="shared" si="43"/>
        <v>0</v>
      </c>
      <c r="BM40" s="503">
        <f t="shared" si="43"/>
        <v>0</v>
      </c>
      <c r="BN40" s="503">
        <f t="shared" si="43"/>
        <v>2889951.19</v>
      </c>
      <c r="BO40" s="503">
        <f t="shared" si="43"/>
        <v>0</v>
      </c>
      <c r="BP40" s="503">
        <f t="shared" si="43"/>
        <v>160369500</v>
      </c>
      <c r="BQ40" s="503">
        <f t="shared" si="43"/>
        <v>37926291.490000002</v>
      </c>
      <c r="BR40" s="503">
        <f t="shared" si="43"/>
        <v>0</v>
      </c>
      <c r="BS40" s="503">
        <f t="shared" si="43"/>
        <v>0</v>
      </c>
      <c r="BT40" s="503">
        <f t="shared" si="43"/>
        <v>0</v>
      </c>
      <c r="BU40" s="503">
        <f t="shared" si="43"/>
        <v>0</v>
      </c>
      <c r="BV40" s="503">
        <f t="shared" si="43"/>
        <v>0</v>
      </c>
      <c r="BW40" s="503">
        <f t="shared" si="43"/>
        <v>0</v>
      </c>
      <c r="BX40" s="503">
        <f t="shared" si="43"/>
        <v>0</v>
      </c>
      <c r="BY40" s="503">
        <f t="shared" si="43"/>
        <v>0</v>
      </c>
      <c r="BZ40" s="503">
        <f t="shared" si="43"/>
        <v>0</v>
      </c>
      <c r="CA40" s="503">
        <f t="shared" si="43"/>
        <v>0</v>
      </c>
      <c r="CB40" s="503">
        <f t="shared" si="43"/>
        <v>117669358.27000001</v>
      </c>
      <c r="CC40" s="503">
        <f t="shared" ref="CC40:DE40" si="44">CC11+CC15+CC19+CC24</f>
        <v>8588685.3199999966</v>
      </c>
      <c r="CD40" s="503">
        <f t="shared" si="44"/>
        <v>3243333.44</v>
      </c>
      <c r="CE40" s="503">
        <f t="shared" si="44"/>
        <v>0</v>
      </c>
      <c r="CF40" s="503">
        <f t="shared" si="44"/>
        <v>658040100</v>
      </c>
      <c r="CG40" s="503">
        <f t="shared" si="44"/>
        <v>286270506.37</v>
      </c>
      <c r="CH40" s="503">
        <f t="shared" si="44"/>
        <v>33398012.530000001</v>
      </c>
      <c r="CI40" s="503">
        <f t="shared" si="44"/>
        <v>15519180.629999999</v>
      </c>
      <c r="CJ40" s="503">
        <f t="shared" si="44"/>
        <v>9483500</v>
      </c>
      <c r="CK40" s="503">
        <f t="shared" si="44"/>
        <v>969502.7</v>
      </c>
      <c r="CL40" s="503">
        <f t="shared" si="44"/>
        <v>0</v>
      </c>
      <c r="CM40" s="503">
        <f t="shared" si="44"/>
        <v>0</v>
      </c>
      <c r="CN40" s="503">
        <f t="shared" si="44"/>
        <v>0</v>
      </c>
      <c r="CO40" s="503">
        <f t="shared" si="44"/>
        <v>0</v>
      </c>
      <c r="CP40" s="503">
        <f t="shared" si="44"/>
        <v>0</v>
      </c>
      <c r="CQ40" s="503">
        <f t="shared" si="44"/>
        <v>0</v>
      </c>
      <c r="CR40" s="503">
        <f t="shared" si="44"/>
        <v>0</v>
      </c>
      <c r="CS40" s="503">
        <f t="shared" si="44"/>
        <v>0</v>
      </c>
      <c r="CT40" s="503">
        <f t="shared" si="44"/>
        <v>20664512.530000001</v>
      </c>
      <c r="CU40" s="503">
        <f t="shared" si="44"/>
        <v>12783193.039999999</v>
      </c>
      <c r="CV40" s="503">
        <f t="shared" si="44"/>
        <v>3250000</v>
      </c>
      <c r="CW40" s="503">
        <f t="shared" si="44"/>
        <v>1766484.8899999997</v>
      </c>
      <c r="CX40" s="503">
        <f t="shared" si="44"/>
        <v>52318309.450000003</v>
      </c>
      <c r="CY40" s="503">
        <f t="shared" si="44"/>
        <v>47174574.160000004</v>
      </c>
      <c r="CZ40" s="503">
        <f t="shared" si="44"/>
        <v>0</v>
      </c>
      <c r="DA40" s="503">
        <f t="shared" si="44"/>
        <v>0</v>
      </c>
      <c r="DB40" s="503">
        <f t="shared" si="44"/>
        <v>7684145.4500000002</v>
      </c>
      <c r="DC40" s="503">
        <f t="shared" si="44"/>
        <v>4843711.16</v>
      </c>
      <c r="DD40" s="503">
        <f t="shared" si="44"/>
        <v>44634164</v>
      </c>
      <c r="DE40" s="503">
        <f t="shared" si="44"/>
        <v>42330863</v>
      </c>
    </row>
    <row r="41" spans="1:112" s="202" customFormat="1" ht="16.5" x14ac:dyDescent="0.25">
      <c r="A41" s="500" t="s">
        <v>764</v>
      </c>
      <c r="B41" s="504">
        <f t="shared" ref="B41:K41" si="45">B33</f>
        <v>4668302203.04</v>
      </c>
      <c r="C41" s="504">
        <f t="shared" si="45"/>
        <v>2032090088.8899999</v>
      </c>
      <c r="D41" s="504">
        <f t="shared" si="45"/>
        <v>37759000</v>
      </c>
      <c r="E41" s="504">
        <f t="shared" si="45"/>
        <v>0</v>
      </c>
      <c r="F41" s="504">
        <f t="shared" si="45"/>
        <v>0</v>
      </c>
      <c r="G41" s="504">
        <f t="shared" si="45"/>
        <v>0</v>
      </c>
      <c r="H41" s="504">
        <f t="shared" ref="H41:I41" si="46">H33</f>
        <v>37759000</v>
      </c>
      <c r="I41" s="504">
        <f t="shared" si="46"/>
        <v>0</v>
      </c>
      <c r="J41" s="504">
        <f t="shared" si="45"/>
        <v>0</v>
      </c>
      <c r="K41" s="504">
        <f t="shared" si="45"/>
        <v>0</v>
      </c>
      <c r="L41" s="504">
        <f>L33</f>
        <v>4630543203.04</v>
      </c>
      <c r="M41" s="504">
        <f t="shared" ref="M41:CB41" si="47">M33</f>
        <v>2032090088.8899999</v>
      </c>
      <c r="N41" s="504">
        <f t="shared" si="47"/>
        <v>4042147311.8600001</v>
      </c>
      <c r="O41" s="504">
        <f t="shared" si="47"/>
        <v>1725580541.4199998</v>
      </c>
      <c r="P41" s="504">
        <f t="shared" si="47"/>
        <v>21770300</v>
      </c>
      <c r="Q41" s="504">
        <f t="shared" si="47"/>
        <v>0</v>
      </c>
      <c r="R41" s="504">
        <f t="shared" si="47"/>
        <v>720202200</v>
      </c>
      <c r="S41" s="504">
        <f t="shared" si="47"/>
        <v>139394028.31</v>
      </c>
      <c r="T41" s="504">
        <f t="shared" si="47"/>
        <v>75345743.200000003</v>
      </c>
      <c r="U41" s="504">
        <f t="shared" si="47"/>
        <v>64798441.840000004</v>
      </c>
      <c r="V41" s="504">
        <f t="shared" si="47"/>
        <v>0</v>
      </c>
      <c r="W41" s="504">
        <f t="shared" si="47"/>
        <v>0</v>
      </c>
      <c r="X41" s="504">
        <f t="shared" si="47"/>
        <v>0</v>
      </c>
      <c r="Y41" s="504">
        <f t="shared" si="47"/>
        <v>0</v>
      </c>
      <c r="Z41" s="504">
        <f t="shared" si="47"/>
        <v>844127500</v>
      </c>
      <c r="AA41" s="504">
        <f t="shared" si="47"/>
        <v>401718749.95999998</v>
      </c>
      <c r="AB41" s="504">
        <f t="shared" si="47"/>
        <v>115116800</v>
      </c>
      <c r="AC41" s="504">
        <f t="shared" si="47"/>
        <v>104137919.87</v>
      </c>
      <c r="AD41" s="504">
        <f t="shared" si="47"/>
        <v>14320379.789999999</v>
      </c>
      <c r="AE41" s="504">
        <f t="shared" si="47"/>
        <v>0</v>
      </c>
      <c r="AF41" s="504">
        <f t="shared" si="47"/>
        <v>0</v>
      </c>
      <c r="AG41" s="504">
        <f t="shared" si="47"/>
        <v>0</v>
      </c>
      <c r="AH41" s="504">
        <f t="shared" si="47"/>
        <v>0</v>
      </c>
      <c r="AI41" s="504">
        <f t="shared" si="47"/>
        <v>0</v>
      </c>
      <c r="AJ41" s="504">
        <f t="shared" si="47"/>
        <v>260033228.37</v>
      </c>
      <c r="AK41" s="504">
        <f t="shared" si="47"/>
        <v>140539200</v>
      </c>
      <c r="AL41" s="504">
        <f t="shared" si="47"/>
        <v>1404739120.51</v>
      </c>
      <c r="AM41" s="504">
        <f t="shared" si="47"/>
        <v>572135749.15999997</v>
      </c>
      <c r="AN41" s="504">
        <f t="shared" si="47"/>
        <v>0</v>
      </c>
      <c r="AO41" s="504">
        <f t="shared" si="47"/>
        <v>0</v>
      </c>
      <c r="AP41" s="504">
        <f t="shared" si="47"/>
        <v>0</v>
      </c>
      <c r="AQ41" s="504">
        <f t="shared" si="47"/>
        <v>0</v>
      </c>
      <c r="AR41" s="504">
        <f t="shared" si="47"/>
        <v>0</v>
      </c>
      <c r="AS41" s="504">
        <f t="shared" si="47"/>
        <v>0</v>
      </c>
      <c r="AT41" s="504">
        <f t="shared" si="47"/>
        <v>2488300</v>
      </c>
      <c r="AU41" s="504">
        <f t="shared" si="47"/>
        <v>2488299.9900000002</v>
      </c>
      <c r="AV41" s="504">
        <f t="shared" si="47"/>
        <v>0</v>
      </c>
      <c r="AW41" s="504">
        <f t="shared" si="47"/>
        <v>0</v>
      </c>
      <c r="AX41" s="504">
        <f t="shared" si="47"/>
        <v>2714716.01</v>
      </c>
      <c r="AY41" s="504">
        <f t="shared" si="47"/>
        <v>0</v>
      </c>
      <c r="AZ41" s="504">
        <f t="shared" si="47"/>
        <v>2142343.06</v>
      </c>
      <c r="BA41" s="504">
        <f t="shared" si="47"/>
        <v>0</v>
      </c>
      <c r="BB41" s="504">
        <f t="shared" si="47"/>
        <v>0</v>
      </c>
      <c r="BC41" s="504">
        <f t="shared" si="47"/>
        <v>0</v>
      </c>
      <c r="BD41" s="504">
        <f t="shared" si="47"/>
        <v>0</v>
      </c>
      <c r="BE41" s="504">
        <f t="shared" si="47"/>
        <v>0</v>
      </c>
      <c r="BF41" s="504">
        <f t="shared" si="47"/>
        <v>0</v>
      </c>
      <c r="BG41" s="504">
        <f t="shared" si="47"/>
        <v>0</v>
      </c>
      <c r="BH41" s="504">
        <f t="shared" si="47"/>
        <v>1221580.92</v>
      </c>
      <c r="BI41" s="504">
        <f t="shared" si="47"/>
        <v>835026.43</v>
      </c>
      <c r="BJ41" s="504">
        <f t="shared" si="47"/>
        <v>0</v>
      </c>
      <c r="BK41" s="504">
        <f t="shared" si="47"/>
        <v>0</v>
      </c>
      <c r="BL41" s="504">
        <f t="shared" si="47"/>
        <v>168384500</v>
      </c>
      <c r="BM41" s="504">
        <f t="shared" si="47"/>
        <v>56707126.899999999</v>
      </c>
      <c r="BN41" s="504">
        <f t="shared" si="47"/>
        <v>0</v>
      </c>
      <c r="BO41" s="504">
        <f t="shared" si="47"/>
        <v>0</v>
      </c>
      <c r="BP41" s="504">
        <f t="shared" si="47"/>
        <v>0</v>
      </c>
      <c r="BQ41" s="504">
        <f t="shared" si="47"/>
        <v>0</v>
      </c>
      <c r="BR41" s="504">
        <f t="shared" si="47"/>
        <v>6625800</v>
      </c>
      <c r="BS41" s="504">
        <f t="shared" si="47"/>
        <v>1557847.01</v>
      </c>
      <c r="BT41" s="504">
        <f t="shared" si="47"/>
        <v>0</v>
      </c>
      <c r="BU41" s="504">
        <f t="shared" si="47"/>
        <v>0</v>
      </c>
      <c r="BV41" s="504">
        <f t="shared" si="47"/>
        <v>0</v>
      </c>
      <c r="BW41" s="504">
        <f t="shared" si="47"/>
        <v>0</v>
      </c>
      <c r="BX41" s="504">
        <f t="shared" si="47"/>
        <v>402914800</v>
      </c>
      <c r="BY41" s="504">
        <f t="shared" si="47"/>
        <v>241268151.94999999</v>
      </c>
      <c r="BZ41" s="504">
        <f t="shared" si="47"/>
        <v>0</v>
      </c>
      <c r="CA41" s="504">
        <f t="shared" si="47"/>
        <v>0</v>
      </c>
      <c r="CB41" s="504">
        <f t="shared" si="47"/>
        <v>0</v>
      </c>
      <c r="CC41" s="504">
        <f t="shared" ref="CC41:DE41" si="48">CC33</f>
        <v>0</v>
      </c>
      <c r="CD41" s="504">
        <f t="shared" si="48"/>
        <v>0</v>
      </c>
      <c r="CE41" s="504">
        <f t="shared" si="48"/>
        <v>0</v>
      </c>
      <c r="CF41" s="504">
        <f t="shared" si="48"/>
        <v>0</v>
      </c>
      <c r="CG41" s="504">
        <f t="shared" si="48"/>
        <v>0</v>
      </c>
      <c r="CH41" s="504">
        <f t="shared" si="48"/>
        <v>260323759.52000001</v>
      </c>
      <c r="CI41" s="504">
        <f t="shared" si="48"/>
        <v>138271176</v>
      </c>
      <c r="CJ41" s="504">
        <f t="shared" si="48"/>
        <v>0</v>
      </c>
      <c r="CK41" s="504">
        <f t="shared" si="48"/>
        <v>0</v>
      </c>
      <c r="CL41" s="504">
        <f t="shared" si="48"/>
        <v>63100</v>
      </c>
      <c r="CM41" s="504">
        <f t="shared" si="48"/>
        <v>0</v>
      </c>
      <c r="CN41" s="504">
        <f t="shared" si="48"/>
        <v>0</v>
      </c>
      <c r="CO41" s="504">
        <f t="shared" si="48"/>
        <v>0</v>
      </c>
      <c r="CP41" s="504">
        <f t="shared" si="48"/>
        <v>0</v>
      </c>
      <c r="CQ41" s="504">
        <f t="shared" si="48"/>
        <v>0</v>
      </c>
      <c r="CR41" s="504">
        <f t="shared" si="48"/>
        <v>7674600</v>
      </c>
      <c r="CS41" s="504">
        <f t="shared" si="48"/>
        <v>3105098</v>
      </c>
      <c r="CT41" s="504">
        <f t="shared" si="48"/>
        <v>251471059.52000001</v>
      </c>
      <c r="CU41" s="504">
        <f t="shared" si="48"/>
        <v>134530078</v>
      </c>
      <c r="CV41" s="504">
        <f t="shared" si="48"/>
        <v>1115000</v>
      </c>
      <c r="CW41" s="504">
        <f t="shared" si="48"/>
        <v>636000</v>
      </c>
      <c r="CX41" s="504">
        <f t="shared" si="48"/>
        <v>328072131.65999997</v>
      </c>
      <c r="CY41" s="504">
        <f t="shared" si="48"/>
        <v>168238371.47</v>
      </c>
      <c r="CZ41" s="504">
        <f t="shared" si="48"/>
        <v>91214000.659999996</v>
      </c>
      <c r="DA41" s="504">
        <f t="shared" si="48"/>
        <v>833244.57</v>
      </c>
      <c r="DB41" s="504">
        <f t="shared" si="48"/>
        <v>19732840</v>
      </c>
      <c r="DC41" s="504">
        <f t="shared" si="48"/>
        <v>12892166.9</v>
      </c>
      <c r="DD41" s="504">
        <f t="shared" si="48"/>
        <v>217125291</v>
      </c>
      <c r="DE41" s="504">
        <f t="shared" si="48"/>
        <v>154512960</v>
      </c>
    </row>
    <row r="42" spans="1:112" s="202" customFormat="1" ht="16.5" x14ac:dyDescent="0.25">
      <c r="A42" s="200"/>
      <c r="B42" s="200"/>
      <c r="C42" s="200"/>
      <c r="D42" s="200"/>
      <c r="E42" s="200"/>
      <c r="F42" s="200"/>
      <c r="G42" s="200"/>
      <c r="H42" s="200"/>
      <c r="I42" s="200"/>
      <c r="J42" s="200"/>
      <c r="K42" s="200"/>
      <c r="L42" s="200"/>
      <c r="M42" s="200"/>
      <c r="N42" s="200"/>
      <c r="O42" s="200"/>
      <c r="P42" s="199"/>
      <c r="Q42" s="199"/>
      <c r="R42" s="199"/>
      <c r="S42" s="199"/>
      <c r="T42" s="199"/>
      <c r="U42" s="199"/>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1"/>
      <c r="BS42" s="201"/>
      <c r="BT42" s="201"/>
      <c r="BU42" s="201"/>
      <c r="BV42" s="201"/>
      <c r="BW42" s="201"/>
      <c r="BX42" s="201"/>
      <c r="BY42" s="201"/>
      <c r="BZ42" s="201"/>
      <c r="CA42" s="201"/>
      <c r="CB42" s="201"/>
      <c r="CC42" s="201"/>
      <c r="CD42" s="201"/>
      <c r="CE42" s="201"/>
      <c r="CF42" s="201"/>
      <c r="CG42" s="201"/>
      <c r="CH42" s="200"/>
      <c r="CI42" s="200"/>
      <c r="CJ42" s="196"/>
      <c r="CK42" s="200"/>
      <c r="CL42" s="499"/>
      <c r="CM42" s="499"/>
      <c r="CN42" s="200"/>
      <c r="CO42" s="200"/>
      <c r="CP42" s="200"/>
      <c r="CQ42" s="200"/>
      <c r="CR42" s="200"/>
      <c r="CS42" s="200"/>
      <c r="CT42" s="196"/>
      <c r="CU42" s="196"/>
      <c r="CV42" s="196"/>
      <c r="CW42" s="196"/>
      <c r="CX42" s="200"/>
      <c r="CY42" s="200"/>
      <c r="CZ42" s="196"/>
      <c r="DA42" s="200"/>
      <c r="DB42" s="196"/>
      <c r="DC42" s="200"/>
      <c r="DD42" s="196"/>
      <c r="DE42" s="200"/>
    </row>
    <row r="43" spans="1:112" s="508" customFormat="1" ht="26.45" customHeight="1" x14ac:dyDescent="0.2">
      <c r="A43" s="505" t="s">
        <v>765</v>
      </c>
      <c r="B43" s="1"/>
      <c r="C43" s="1"/>
      <c r="D43" s="1"/>
      <c r="E43" s="1"/>
      <c r="F43" s="1693" t="s">
        <v>766</v>
      </c>
      <c r="G43" s="1694"/>
      <c r="H43" s="1693" t="s">
        <v>1296</v>
      </c>
      <c r="I43" s="1694"/>
      <c r="J43" s="1693" t="s">
        <v>767</v>
      </c>
      <c r="K43" s="1694"/>
      <c r="L43" s="1"/>
      <c r="M43" s="1"/>
      <c r="N43" s="1"/>
      <c r="O43" s="1"/>
      <c r="P43" s="1693" t="s">
        <v>768</v>
      </c>
      <c r="Q43" s="1694"/>
      <c r="R43" s="1693" t="s">
        <v>769</v>
      </c>
      <c r="S43" s="1694"/>
      <c r="T43" s="1693" t="s">
        <v>770</v>
      </c>
      <c r="U43" s="1694"/>
      <c r="V43" s="1693" t="s">
        <v>771</v>
      </c>
      <c r="W43" s="1694"/>
      <c r="X43" s="1693" t="s">
        <v>772</v>
      </c>
      <c r="Y43" s="1694"/>
      <c r="Z43" s="1693" t="s">
        <v>773</v>
      </c>
      <c r="AA43" s="1694"/>
      <c r="AB43" s="1693" t="s">
        <v>774</v>
      </c>
      <c r="AC43" s="1694"/>
      <c r="AD43" s="1693" t="s">
        <v>775</v>
      </c>
      <c r="AE43" s="1694"/>
      <c r="AF43" s="1693" t="s">
        <v>776</v>
      </c>
      <c r="AG43" s="1694"/>
      <c r="AH43" s="1693" t="s">
        <v>777</v>
      </c>
      <c r="AI43" s="1694"/>
      <c r="AJ43" s="1693" t="s">
        <v>778</v>
      </c>
      <c r="AK43" s="1694"/>
      <c r="AL43" s="1693" t="s">
        <v>779</v>
      </c>
      <c r="AM43" s="1694"/>
      <c r="AN43" s="1693" t="s">
        <v>780</v>
      </c>
      <c r="AO43" s="1694"/>
      <c r="AP43" s="1693" t="s">
        <v>781</v>
      </c>
      <c r="AQ43" s="1694"/>
      <c r="AR43" s="1693" t="s">
        <v>782</v>
      </c>
      <c r="AS43" s="1694"/>
      <c r="AT43" s="1693" t="s">
        <v>783</v>
      </c>
      <c r="AU43" s="1694"/>
      <c r="AV43" s="1693" t="s">
        <v>784</v>
      </c>
      <c r="AW43" s="1694"/>
      <c r="AX43" s="1693" t="s">
        <v>785</v>
      </c>
      <c r="AY43" s="1694"/>
      <c r="AZ43" s="1693" t="s">
        <v>786</v>
      </c>
      <c r="BA43" s="1694"/>
      <c r="BB43" s="1693" t="s">
        <v>787</v>
      </c>
      <c r="BC43" s="1694"/>
      <c r="BD43" s="1693" t="s">
        <v>788</v>
      </c>
      <c r="BE43" s="1694"/>
      <c r="BF43" s="1693" t="s">
        <v>789</v>
      </c>
      <c r="BG43" s="1694"/>
      <c r="BH43" s="1693" t="s">
        <v>790</v>
      </c>
      <c r="BI43" s="1694"/>
      <c r="BJ43" s="1693" t="s">
        <v>791</v>
      </c>
      <c r="BK43" s="1694"/>
      <c r="BL43" s="1693" t="s">
        <v>792</v>
      </c>
      <c r="BM43" s="1694"/>
      <c r="BN43" s="1693" t="s">
        <v>793</v>
      </c>
      <c r="BO43" s="1694"/>
      <c r="BP43" s="1693" t="s">
        <v>800</v>
      </c>
      <c r="BQ43" s="1694"/>
      <c r="BR43" s="1693" t="s">
        <v>794</v>
      </c>
      <c r="BS43" s="1694"/>
      <c r="BT43" s="1693" t="s">
        <v>795</v>
      </c>
      <c r="BU43" s="1694"/>
      <c r="BV43" s="1693" t="s">
        <v>796</v>
      </c>
      <c r="BW43" s="1694"/>
      <c r="BX43" s="1693" t="s">
        <v>1360</v>
      </c>
      <c r="BY43" s="1694"/>
      <c r="BZ43" s="1693" t="s">
        <v>797</v>
      </c>
      <c r="CA43" s="1694"/>
      <c r="CB43" s="1693" t="s">
        <v>798</v>
      </c>
      <c r="CC43" s="1694"/>
      <c r="CD43" s="1693" t="s">
        <v>799</v>
      </c>
      <c r="CE43" s="1694"/>
      <c r="CF43" s="1693" t="s">
        <v>800</v>
      </c>
      <c r="CG43" s="1694"/>
      <c r="CH43" s="506"/>
      <c r="CI43" s="507"/>
      <c r="CJ43" s="1693" t="s">
        <v>801</v>
      </c>
      <c r="CK43" s="1694"/>
      <c r="CL43" s="1693" t="s">
        <v>802</v>
      </c>
      <c r="CM43" s="1694"/>
      <c r="CN43" s="1656" t="s">
        <v>803</v>
      </c>
      <c r="CO43" s="1663"/>
      <c r="CP43" s="1656" t="s">
        <v>804</v>
      </c>
      <c r="CQ43" s="1663"/>
      <c r="CR43" s="1656" t="s">
        <v>805</v>
      </c>
      <c r="CS43" s="1663"/>
      <c r="CT43" s="1691" t="s">
        <v>806</v>
      </c>
      <c r="CU43" s="1692"/>
      <c r="CV43" s="1691" t="s">
        <v>807</v>
      </c>
      <c r="CW43" s="1692"/>
      <c r="CX43" s="506"/>
      <c r="CY43" s="507"/>
      <c r="CZ43" s="1691" t="s">
        <v>808</v>
      </c>
      <c r="DA43" s="1692"/>
      <c r="DB43" s="1691" t="s">
        <v>809</v>
      </c>
      <c r="DC43" s="1692"/>
      <c r="DD43" s="1691" t="s">
        <v>810</v>
      </c>
      <c r="DE43" s="1692"/>
    </row>
    <row r="44" spans="1:112" s="511" customFormat="1" ht="26.25" x14ac:dyDescent="0.4">
      <c r="A44" s="1"/>
      <c r="B44" s="1"/>
      <c r="C44" s="1"/>
      <c r="D44" s="1"/>
      <c r="E44" s="1"/>
      <c r="F44" s="1"/>
      <c r="G44" s="1"/>
      <c r="H44" s="1"/>
      <c r="I44" s="1"/>
      <c r="J44" s="1"/>
      <c r="K44" s="1"/>
      <c r="L44" s="1"/>
      <c r="M44" s="509"/>
      <c r="N44" s="510"/>
      <c r="O44" s="510"/>
    </row>
    <row r="45" spans="1:112" ht="18" x14ac:dyDescent="0.25">
      <c r="M45" s="509"/>
      <c r="N45" s="510"/>
      <c r="O45" s="510"/>
    </row>
  </sheetData>
  <mergeCells count="119">
    <mergeCell ref="BN8:BQ8"/>
    <mergeCell ref="BP9:BQ9"/>
    <mergeCell ref="BP43:BQ43"/>
    <mergeCell ref="CB8:CE8"/>
    <mergeCell ref="H43:I43"/>
    <mergeCell ref="H7:K8"/>
    <mergeCell ref="H9:I9"/>
    <mergeCell ref="J9:K9"/>
    <mergeCell ref="A6:A10"/>
    <mergeCell ref="B6:C9"/>
    <mergeCell ref="D6:E9"/>
    <mergeCell ref="F6:K6"/>
    <mergeCell ref="L6:M9"/>
    <mergeCell ref="F7:G9"/>
    <mergeCell ref="N7:Y7"/>
    <mergeCell ref="BH9:BI9"/>
    <mergeCell ref="X43:Y43"/>
    <mergeCell ref="Z43:AA43"/>
    <mergeCell ref="AB43:AC43"/>
    <mergeCell ref="AD43:AE43"/>
    <mergeCell ref="AF43:AG43"/>
    <mergeCell ref="BN9:BO9"/>
    <mergeCell ref="CB9:CC9"/>
    <mergeCell ref="CD9:CE9"/>
    <mergeCell ref="CH7:CU7"/>
    <mergeCell ref="BL9:BM9"/>
    <mergeCell ref="CF9:CG9"/>
    <mergeCell ref="CX7:DE7"/>
    <mergeCell ref="N8:N10"/>
    <mergeCell ref="O8:O10"/>
    <mergeCell ref="P8:U8"/>
    <mergeCell ref="V8:W9"/>
    <mergeCell ref="X8:Y8"/>
    <mergeCell ref="Z8:AA9"/>
    <mergeCell ref="AB8:AC9"/>
    <mergeCell ref="CT8:CU9"/>
    <mergeCell ref="BV8:BW9"/>
    <mergeCell ref="BX8:BY9"/>
    <mergeCell ref="BZ8:CA9"/>
    <mergeCell ref="CH8:CH10"/>
    <mergeCell ref="CI8:CI10"/>
    <mergeCell ref="BD8:BI8"/>
    <mergeCell ref="BJ8:BK9"/>
    <mergeCell ref="BL8:BM8"/>
    <mergeCell ref="BR8:BS9"/>
    <mergeCell ref="BT8:BU9"/>
    <mergeCell ref="BD9:BE9"/>
    <mergeCell ref="BF9:BG9"/>
    <mergeCell ref="DG10:DH10"/>
    <mergeCell ref="F43:G43"/>
    <mergeCell ref="J43:K43"/>
    <mergeCell ref="P43:Q43"/>
    <mergeCell ref="R43:S43"/>
    <mergeCell ref="T43:U43"/>
    <mergeCell ref="P9:Q9"/>
    <mergeCell ref="R9:S9"/>
    <mergeCell ref="T9:U9"/>
    <mergeCell ref="X9:Y9"/>
    <mergeCell ref="AX9:AY9"/>
    <mergeCell ref="AZ9:BA9"/>
    <mergeCell ref="CV8:CW9"/>
    <mergeCell ref="CX8:CX10"/>
    <mergeCell ref="CY8:CY10"/>
    <mergeCell ref="CZ8:DA9"/>
    <mergeCell ref="DB8:DC9"/>
    <mergeCell ref="DD8:DE9"/>
    <mergeCell ref="CJ8:CK9"/>
    <mergeCell ref="CL8:CM9"/>
    <mergeCell ref="CN8:CO9"/>
    <mergeCell ref="CP8:CQ9"/>
    <mergeCell ref="CR8:CS9"/>
    <mergeCell ref="V43:W43"/>
    <mergeCell ref="AP8:AQ9"/>
    <mergeCell ref="AR8:AS9"/>
    <mergeCell ref="AT8:AU9"/>
    <mergeCell ref="AV8:AW9"/>
    <mergeCell ref="AX8:BA8"/>
    <mergeCell ref="BB8:BC9"/>
    <mergeCell ref="AD8:AE9"/>
    <mergeCell ref="AF8:AG9"/>
    <mergeCell ref="AH8:AI9"/>
    <mergeCell ref="AJ8:AK9"/>
    <mergeCell ref="AL8:AM9"/>
    <mergeCell ref="AN8:AO9"/>
    <mergeCell ref="AT43:AU43"/>
    <mergeCell ref="AV43:AW43"/>
    <mergeCell ref="AX43:AY43"/>
    <mergeCell ref="AZ43:BA43"/>
    <mergeCell ref="BB43:BC43"/>
    <mergeCell ref="BD43:BE43"/>
    <mergeCell ref="AH43:AI43"/>
    <mergeCell ref="AJ43:AK43"/>
    <mergeCell ref="AL43:AM43"/>
    <mergeCell ref="AN43:AO43"/>
    <mergeCell ref="AP43:AQ43"/>
    <mergeCell ref="AR43:AS43"/>
    <mergeCell ref="BT43:BU43"/>
    <mergeCell ref="BV43:BW43"/>
    <mergeCell ref="BX43:BY43"/>
    <mergeCell ref="BZ43:CA43"/>
    <mergeCell ref="CB43:CC43"/>
    <mergeCell ref="CD43:CE43"/>
    <mergeCell ref="BF43:BG43"/>
    <mergeCell ref="BH43:BI43"/>
    <mergeCell ref="BJ43:BK43"/>
    <mergeCell ref="BL43:BM43"/>
    <mergeCell ref="BN43:BO43"/>
    <mergeCell ref="BR43:BS43"/>
    <mergeCell ref="CT43:CU43"/>
    <mergeCell ref="CV43:CW43"/>
    <mergeCell ref="CZ43:DA43"/>
    <mergeCell ref="DB43:DC43"/>
    <mergeCell ref="DD43:DE43"/>
    <mergeCell ref="CF43:CG43"/>
    <mergeCell ref="CJ43:CK43"/>
    <mergeCell ref="CL43:CM43"/>
    <mergeCell ref="CN43:CO43"/>
    <mergeCell ref="CP43:CQ43"/>
    <mergeCell ref="CR43:CS43"/>
  </mergeCells>
  <pageMargins left="0.78740157480314965" right="0.39370078740157483" top="0.78740157480314965" bottom="0.78740157480314965" header="0.51181102362204722" footer="0.51181102362204722"/>
  <pageSetup paperSize="9" scale="39" fitToWidth="15" orientation="landscape" horizontalDpi="300" verticalDpi="300" r:id="rId1"/>
  <headerFooter alignWithMargins="0">
    <oddFooter>&amp;L&amp;P&amp;R&amp;Z&amp;F&amp;A</oddFooter>
  </headerFooter>
  <colBreaks count="1" manualBreakCount="1">
    <brk id="83"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75"/>
  <sheetViews>
    <sheetView topLeftCell="A2" zoomScale="90" zoomScaleNormal="90" workbookViewId="0">
      <pane xSplit="1" ySplit="5" topLeftCell="B71" activePane="bottomRight" state="frozen"/>
      <selection activeCell="A2" sqref="A2"/>
      <selection pane="topRight" activeCell="B2" sqref="B2"/>
      <selection pane="bottomLeft" activeCell="A6" sqref="A6"/>
      <selection pane="bottomRight" activeCell="A14" sqref="A14"/>
    </sheetView>
  </sheetViews>
  <sheetFormatPr defaultColWidth="9.140625" defaultRowHeight="12.75" x14ac:dyDescent="0.25"/>
  <cols>
    <col min="1" max="1" width="80.85546875" style="244" customWidth="1"/>
    <col min="2" max="2" width="17.140625" style="244" customWidth="1"/>
    <col min="3" max="3" width="16.5703125" style="244" customWidth="1"/>
    <col min="4" max="4" width="15.5703125" style="244" customWidth="1"/>
    <col min="5" max="16384" width="9.140625" style="244"/>
  </cols>
  <sheetData>
    <row r="2" spans="1:3" ht="15" x14ac:dyDescent="0.25">
      <c r="A2" s="1775" t="s">
        <v>673</v>
      </c>
      <c r="B2" s="1775"/>
      <c r="C2" s="1775"/>
    </row>
    <row r="3" spans="1:3" ht="15" x14ac:dyDescent="0.25">
      <c r="A3" s="1776" t="str">
        <f>'МБТ  по  программам'!A3:I3</f>
        <v>ПО  СОСТОЯНИЮ  НА  1  ИЮЛЯ  2024  ГОДА</v>
      </c>
      <c r="B3" s="1776"/>
      <c r="C3" s="1776"/>
    </row>
    <row r="4" spans="1:3" ht="15" x14ac:dyDescent="0.25">
      <c r="A4" s="215"/>
      <c r="B4" s="215"/>
      <c r="C4" s="215"/>
    </row>
    <row r="5" spans="1:3" ht="15" x14ac:dyDescent="0.25">
      <c r="C5" s="214" t="s">
        <v>674</v>
      </c>
    </row>
    <row r="6" spans="1:3" ht="15" x14ac:dyDescent="0.25">
      <c r="A6" s="217" t="s">
        <v>357</v>
      </c>
      <c r="B6" s="417" t="s">
        <v>359</v>
      </c>
      <c r="C6" s="407" t="s">
        <v>365</v>
      </c>
    </row>
    <row r="7" spans="1:3" ht="15" x14ac:dyDescent="0.25">
      <c r="A7" s="217" t="s">
        <v>675</v>
      </c>
      <c r="B7" s="404"/>
      <c r="C7" s="407"/>
    </row>
    <row r="8" spans="1:3" ht="127.5" x14ac:dyDescent="0.25">
      <c r="A8" s="280" t="s">
        <v>676</v>
      </c>
      <c r="B8" s="418">
        <f>'Проверочная  таблица'!EJ38/1000</f>
        <v>0</v>
      </c>
      <c r="C8" s="418">
        <f>'Проверочная  таблица'!EM38/1000</f>
        <v>0</v>
      </c>
    </row>
    <row r="9" spans="1:3" ht="63.75" x14ac:dyDescent="0.25">
      <c r="A9" s="280" t="s">
        <v>677</v>
      </c>
      <c r="B9" s="419">
        <f>'Проверочная  таблица'!ST38/1000</f>
        <v>0</v>
      </c>
      <c r="C9" s="420">
        <f>'Проверочная  таблица'!SW38/1000</f>
        <v>0</v>
      </c>
    </row>
    <row r="10" spans="1:3" ht="38.25" x14ac:dyDescent="0.25">
      <c r="A10" s="280" t="s">
        <v>678</v>
      </c>
      <c r="B10" s="418">
        <f>'Проверочная  таблица'!EQ38/1000</f>
        <v>844127.5</v>
      </c>
      <c r="C10" s="418">
        <f>'Проверочная  таблица'!EU38/1000</f>
        <v>401718.74995999999</v>
      </c>
    </row>
    <row r="11" spans="1:3" ht="38.25" x14ac:dyDescent="0.25">
      <c r="A11" s="280" t="s">
        <v>679</v>
      </c>
      <c r="B11" s="418">
        <f>'Проверочная  таблица'!OL38/1000</f>
        <v>0</v>
      </c>
      <c r="C11" s="418">
        <f>'Проверочная  таблица'!OP38/1000</f>
        <v>0</v>
      </c>
    </row>
    <row r="12" spans="1:3" ht="63.75" x14ac:dyDescent="0.25">
      <c r="A12" s="280" t="s">
        <v>680</v>
      </c>
      <c r="B12" s="418">
        <f>'Проверочная  таблица'!ED38/1000</f>
        <v>5982.8</v>
      </c>
      <c r="C12" s="418">
        <f>'Проверочная  таблица'!EG38/1000</f>
        <v>0</v>
      </c>
    </row>
    <row r="13" spans="1:3" ht="51" x14ac:dyDescent="0.25">
      <c r="A13" s="280" t="s">
        <v>1361</v>
      </c>
      <c r="B13" s="418">
        <f>'Проверочная  таблица'!SM38/1000</f>
        <v>478133.4</v>
      </c>
      <c r="C13" s="418">
        <f>'Проверочная  таблица'!SQ38/1000</f>
        <v>242221.26640999998</v>
      </c>
    </row>
    <row r="14" spans="1:3" ht="89.25" x14ac:dyDescent="0.25">
      <c r="A14" s="280" t="s">
        <v>681</v>
      </c>
      <c r="B14" s="418">
        <f>'Проверочная  таблица'!LY39/1000</f>
        <v>29785.8</v>
      </c>
      <c r="C14" s="418">
        <f>'Проверочная  таблица'!MC39/1000</f>
        <v>15621.40654</v>
      </c>
    </row>
    <row r="15" spans="1:3" ht="63.75" x14ac:dyDescent="0.25">
      <c r="A15" s="280" t="s">
        <v>682</v>
      </c>
      <c r="B15" s="418">
        <f>'Проверочная  таблица'!ND38/1000</f>
        <v>0</v>
      </c>
      <c r="C15" s="418">
        <f>'Проверочная  таблица'!NL38/1000</f>
        <v>0</v>
      </c>
    </row>
    <row r="16" spans="1:3" ht="76.5" x14ac:dyDescent="0.25">
      <c r="A16" s="280" t="s">
        <v>683</v>
      </c>
      <c r="B16" s="418">
        <f>'Проверочная  таблица'!NF38/1000</f>
        <v>4757.6000000000004</v>
      </c>
      <c r="C16" s="418">
        <f>'Проверочная  таблица'!NN38/1000</f>
        <v>484.79760999999996</v>
      </c>
    </row>
    <row r="17" spans="1:4" ht="38.25" x14ac:dyDescent="0.25">
      <c r="A17" s="280" t="s">
        <v>684</v>
      </c>
      <c r="B17" s="418">
        <f>'Проверочная  таблица'!JH38/1000</f>
        <v>21850</v>
      </c>
      <c r="C17" s="418">
        <f>'Проверочная  таблица'!JK38/1000</f>
        <v>563.26853000000006</v>
      </c>
    </row>
    <row r="18" spans="1:4" ht="38.25" x14ac:dyDescent="0.25">
      <c r="A18" s="280" t="s">
        <v>685</v>
      </c>
      <c r="B18" s="418">
        <f>'Проверочная  таблица'!RB38/1000</f>
        <v>6625.8</v>
      </c>
      <c r="C18" s="418">
        <f>'Проверочная  таблица'!RE38/1000</f>
        <v>1557.84701</v>
      </c>
    </row>
    <row r="19" spans="1:4" ht="51" x14ac:dyDescent="0.25">
      <c r="A19" s="280" t="s">
        <v>686</v>
      </c>
      <c r="B19" s="419">
        <f>'Проверочная  таблица'!RH39/1000</f>
        <v>0</v>
      </c>
      <c r="C19" s="420">
        <f>'Проверочная  таблица'!RK39/1000</f>
        <v>0</v>
      </c>
    </row>
    <row r="20" spans="1:4" ht="51" x14ac:dyDescent="0.25">
      <c r="A20" s="280" t="s">
        <v>687</v>
      </c>
      <c r="B20" s="418">
        <f>'Проверочная  таблица'!SF38/1000</f>
        <v>0</v>
      </c>
      <c r="C20" s="418">
        <f>'Проверочная  таблица'!SI38/1000</f>
        <v>0</v>
      </c>
    </row>
    <row r="21" spans="1:4" ht="38.25" x14ac:dyDescent="0.25">
      <c r="A21" s="280" t="s">
        <v>688</v>
      </c>
      <c r="B21" s="418">
        <f>'Проверочная  таблица'!IR39/1000</f>
        <v>2500</v>
      </c>
      <c r="C21" s="418">
        <f>'Проверочная  таблица'!IU39/1000</f>
        <v>0</v>
      </c>
    </row>
    <row r="22" spans="1:4" ht="76.5" x14ac:dyDescent="0.25">
      <c r="A22" s="280" t="s">
        <v>689</v>
      </c>
      <c r="B22" s="418">
        <f>'Проверочная  таблица'!GB38/1000</f>
        <v>0</v>
      </c>
      <c r="C22" s="418">
        <f>'Проверочная  таблица'!GE38/1000</f>
        <v>0</v>
      </c>
    </row>
    <row r="23" spans="1:4" ht="89.25" x14ac:dyDescent="0.25">
      <c r="A23" s="280" t="s">
        <v>690</v>
      </c>
      <c r="B23" s="418">
        <f>'Проверочная  таблица'!JN38/1000</f>
        <v>2488.3000000000002</v>
      </c>
      <c r="C23" s="418">
        <f>'Проверочная  таблица'!JQ38/1000</f>
        <v>2488.2999900000004</v>
      </c>
    </row>
    <row r="24" spans="1:4" ht="76.5" x14ac:dyDescent="0.25">
      <c r="A24" s="280" t="s">
        <v>691</v>
      </c>
      <c r="B24" s="418">
        <f>'Проверочная  таблица'!JT39/1000</f>
        <v>36.71663999999997</v>
      </c>
      <c r="C24" s="418">
        <f>'Проверочная  таблица'!JW39/1000</f>
        <v>0</v>
      </c>
    </row>
    <row r="25" spans="1:4" ht="89.25" x14ac:dyDescent="0.25">
      <c r="A25" s="280" t="s">
        <v>692</v>
      </c>
      <c r="B25" s="418">
        <f>'Проверочная  таблица'!NI39/1000</f>
        <v>168192.4</v>
      </c>
      <c r="C25" s="418">
        <f>'Проверочная  таблица'!NQ39/1000</f>
        <v>2826.5385900000001</v>
      </c>
    </row>
    <row r="26" spans="1:4" ht="76.5" x14ac:dyDescent="0.25">
      <c r="A26" s="280" t="s">
        <v>693</v>
      </c>
      <c r="B26" s="418">
        <f>'Проверочная  таблица'!HT39/1000</f>
        <v>167793.31136000002</v>
      </c>
      <c r="C26" s="418">
        <f>'Проверочная  таблица'!HW39/1000</f>
        <v>144222.08874000001</v>
      </c>
    </row>
    <row r="27" spans="1:4" ht="63.75" x14ac:dyDescent="0.25">
      <c r="A27" s="280" t="s">
        <v>694</v>
      </c>
      <c r="B27" s="418">
        <f>'Проверочная  таблица'!OT39/1000</f>
        <v>416944.91411000001</v>
      </c>
      <c r="C27" s="418">
        <f>'Проверочная  таблица'!OX39/1000</f>
        <v>126381.99462</v>
      </c>
      <c r="D27" s="421"/>
    </row>
    <row r="28" spans="1:4" ht="89.25" x14ac:dyDescent="0.25">
      <c r="A28" s="280" t="s">
        <v>695</v>
      </c>
      <c r="B28" s="418">
        <f>'Проверочная  таблица'!EX38/1000</f>
        <v>197611.63671000002</v>
      </c>
      <c r="C28" s="418">
        <f>'Проверочная  таблица'!FA38/1000</f>
        <v>104137.91987</v>
      </c>
    </row>
    <row r="29" spans="1:4" ht="178.5" x14ac:dyDescent="0.25">
      <c r="A29" s="280" t="s">
        <v>696</v>
      </c>
      <c r="B29" s="418">
        <f>'Проверочная  таблица'!SZ39/1000</f>
        <v>219498.6</v>
      </c>
      <c r="C29" s="418">
        <f>'Проверочная  таблица'!TG39/1000</f>
        <v>28900.057549999998</v>
      </c>
    </row>
    <row r="30" spans="1:4" ht="114.75" x14ac:dyDescent="0.25">
      <c r="A30" s="280" t="s">
        <v>697</v>
      </c>
      <c r="B30" s="418">
        <f>'Проверочная  таблица'!TB39/1000</f>
        <v>3243.3334399999999</v>
      </c>
      <c r="C30" s="418">
        <f>'Проверочная  таблица'!TI39/1000</f>
        <v>0</v>
      </c>
    </row>
    <row r="31" spans="1:4" ht="89.25" x14ac:dyDescent="0.25">
      <c r="A31" s="280" t="s">
        <v>698</v>
      </c>
      <c r="B31" s="418">
        <f>'Проверочная  таблица'!PZ39/1000</f>
        <v>8932.5142699999997</v>
      </c>
      <c r="C31" s="418">
        <f>'Проверочная  таблица'!QE39/1000</f>
        <v>1185.6211599999999</v>
      </c>
    </row>
    <row r="32" spans="1:4" ht="89.25" x14ac:dyDescent="0.25">
      <c r="A32" s="280" t="s">
        <v>699</v>
      </c>
      <c r="B32" s="418">
        <f>'Проверочная  таблица'!GH39/1000</f>
        <v>234131.38022999998</v>
      </c>
      <c r="C32" s="418">
        <f>'Проверочная  таблица'!GK39/1000</f>
        <v>50526.359969999998</v>
      </c>
    </row>
    <row r="33" spans="1:4" ht="76.5" x14ac:dyDescent="0.25">
      <c r="A33" s="280" t="s">
        <v>700</v>
      </c>
      <c r="B33" s="418">
        <f>'Проверочная  таблица'!TD39/1000</f>
        <v>1400016</v>
      </c>
      <c r="C33" s="418">
        <f>'Проверочная  таблица'!TK39/1000</f>
        <v>603766.08818000008</v>
      </c>
    </row>
    <row r="34" spans="1:4" ht="63.75" x14ac:dyDescent="0.25">
      <c r="A34" s="280" t="s">
        <v>701</v>
      </c>
      <c r="B34" s="418">
        <f>'Проверочная  таблица'!GX38/1000</f>
        <v>335298.43997000001</v>
      </c>
      <c r="C34" s="418">
        <f>'Проверочная  таблица'!HB38/1000</f>
        <v>140539.20000000001</v>
      </c>
    </row>
    <row r="35" spans="1:4" ht="114.75" x14ac:dyDescent="0.25">
      <c r="A35" s="280" t="s">
        <v>702</v>
      </c>
      <c r="B35" s="418">
        <f>'Проверочная  таблица'!HN38/1000</f>
        <v>1404739.12051</v>
      </c>
      <c r="C35" s="418">
        <f>'Проверочная  таблица'!HQ38/1000</f>
        <v>572135.74916000001</v>
      </c>
    </row>
    <row r="36" spans="1:4" ht="102" x14ac:dyDescent="0.25">
      <c r="A36" s="280" t="s">
        <v>703</v>
      </c>
      <c r="B36" s="418">
        <f>'Проверочная  таблица'!CX38/1000</f>
        <v>22014.164570000001</v>
      </c>
      <c r="C36" s="418">
        <f>'Проверочная  таблица'!DE38/1000</f>
        <v>0</v>
      </c>
    </row>
    <row r="37" spans="1:4" ht="76.5" x14ac:dyDescent="0.25">
      <c r="A37" s="280" t="s">
        <v>704</v>
      </c>
      <c r="B37" s="418">
        <f>'Проверочная  таблица'!CZ39/1000</f>
        <v>1011540.3</v>
      </c>
      <c r="C37" s="418">
        <f>'Проверочная  таблица'!DG39/1000</f>
        <v>222265.05701999998</v>
      </c>
    </row>
    <row r="38" spans="1:4" ht="76.5" x14ac:dyDescent="0.25">
      <c r="A38" s="280" t="s">
        <v>705</v>
      </c>
      <c r="B38" s="418">
        <f>'Проверочная  таблица'!DB38/1000</f>
        <v>75345.743199999997</v>
      </c>
      <c r="C38" s="418">
        <f>'Проверочная  таблица'!DI38/1000</f>
        <v>64798.441840000007</v>
      </c>
    </row>
    <row r="39" spans="1:4" ht="76.5" x14ac:dyDescent="0.25">
      <c r="A39" s="280" t="s">
        <v>706</v>
      </c>
      <c r="B39" s="418">
        <f>'Проверочная  таблица'!KR39/1000</f>
        <v>9055.8877100000009</v>
      </c>
      <c r="C39" s="418">
        <f>'Проверочная  таблица'!KW39/1000</f>
        <v>0</v>
      </c>
    </row>
    <row r="40" spans="1:4" ht="76.5" x14ac:dyDescent="0.25">
      <c r="A40" s="280" t="s">
        <v>707</v>
      </c>
      <c r="B40" s="418">
        <f>'Проверочная  таблица'!KT39/1000</f>
        <v>6524.4</v>
      </c>
      <c r="C40" s="418">
        <f>'Проверочная  таблица'!KY39/1000</f>
        <v>0</v>
      </c>
    </row>
    <row r="41" spans="1:4" ht="114.75" x14ac:dyDescent="0.25">
      <c r="A41" s="280" t="s">
        <v>708</v>
      </c>
      <c r="B41" s="418">
        <f>'Проверочная  таблица'!FD39/1000</f>
        <v>18686.099999999999</v>
      </c>
      <c r="C41" s="418">
        <f>'Проверочная  таблица'!FG39/1000</f>
        <v>622.69193000000007</v>
      </c>
    </row>
    <row r="42" spans="1:4" ht="15.75" x14ac:dyDescent="0.25">
      <c r="A42" s="280"/>
      <c r="B42" s="418"/>
      <c r="C42" s="418"/>
    </row>
    <row r="43" spans="1:4" ht="15.75" x14ac:dyDescent="0.25">
      <c r="A43" s="249" t="s">
        <v>709</v>
      </c>
      <c r="B43" s="422">
        <f>SUM(B7:B42)</f>
        <v>7095856.1627200013</v>
      </c>
      <c r="C43" s="422">
        <f>SUM(C7:C42)</f>
        <v>2726963.4446800007</v>
      </c>
      <c r="D43" s="423">
        <f>B43-Субсидия!E535/1000</f>
        <v>0</v>
      </c>
    </row>
    <row r="44" spans="1:4" ht="15.75" x14ac:dyDescent="0.25">
      <c r="A44" s="240"/>
      <c r="B44" s="418"/>
      <c r="C44" s="418"/>
    </row>
    <row r="45" spans="1:4" ht="15.75" x14ac:dyDescent="0.25">
      <c r="A45" s="217" t="s">
        <v>710</v>
      </c>
      <c r="B45" s="418"/>
      <c r="C45" s="418"/>
    </row>
    <row r="46" spans="1:4" ht="114.75" x14ac:dyDescent="0.25">
      <c r="A46" s="280" t="s">
        <v>711</v>
      </c>
      <c r="B46" s="418">
        <f>'Проверочная  таблица'!VZ38/1000</f>
        <v>0</v>
      </c>
      <c r="C46" s="418">
        <f>'Проверочная  таблица'!WA38/1000</f>
        <v>0</v>
      </c>
    </row>
    <row r="47" spans="1:4" ht="89.25" x14ac:dyDescent="0.25">
      <c r="A47" s="280" t="s">
        <v>712</v>
      </c>
      <c r="B47" s="418">
        <f>'Проверочная  таблица'!WB38/1000</f>
        <v>1553</v>
      </c>
      <c r="C47" s="418">
        <f>'Проверочная  таблица'!WC38/1000</f>
        <v>0</v>
      </c>
    </row>
    <row r="48" spans="1:4" ht="89.25" x14ac:dyDescent="0.25">
      <c r="A48" s="280" t="s">
        <v>713</v>
      </c>
      <c r="B48" s="418">
        <f>'Проверочная  таблица'!WD38/1000</f>
        <v>7674.6</v>
      </c>
      <c r="C48" s="418">
        <f>'Проверочная  таблица'!WE38/1000</f>
        <v>3105.098</v>
      </c>
    </row>
    <row r="49" spans="1:4" ht="76.5" x14ac:dyDescent="0.25">
      <c r="A49" s="280" t="s">
        <v>714</v>
      </c>
      <c r="B49" s="418">
        <f>'Проверочная  таблица'!WH38/1000</f>
        <v>422813.9</v>
      </c>
      <c r="C49" s="418">
        <f>'Проверочная  таблица'!WK38/1000</f>
        <v>240256.09743999998</v>
      </c>
    </row>
    <row r="50" spans="1:4" ht="102" x14ac:dyDescent="0.25">
      <c r="A50" s="280" t="s">
        <v>715</v>
      </c>
      <c r="B50" s="418">
        <f>'Проверочная  таблица'!WN38/1000</f>
        <v>16706</v>
      </c>
      <c r="C50" s="418">
        <f>'Проверочная  таблица'!WQ38/1000</f>
        <v>8656.1890899999999</v>
      </c>
    </row>
    <row r="51" spans="1:4" ht="51" x14ac:dyDescent="0.25">
      <c r="A51" s="280" t="s">
        <v>716</v>
      </c>
      <c r="B51" s="418">
        <f>('Проверочная  таблица'!VT38+'Проверочная  таблица'!VV38)/1000</f>
        <v>46452.800000000003</v>
      </c>
      <c r="C51" s="418">
        <f>('Проверочная  таблица'!VU38+'Проверочная  таблица'!VW38)/1000</f>
        <v>15931.13243</v>
      </c>
    </row>
    <row r="52" spans="1:4" ht="63.75" x14ac:dyDescent="0.25">
      <c r="A52" s="280" t="s">
        <v>717</v>
      </c>
      <c r="B52" s="418">
        <f>'Проверочная  таблица'!VX38/1000</f>
        <v>63.1</v>
      </c>
      <c r="C52" s="418">
        <f>'Проверочная  таблица'!VY38/1000</f>
        <v>0</v>
      </c>
    </row>
    <row r="53" spans="1:4" ht="15.75" x14ac:dyDescent="0.25">
      <c r="A53" s="280"/>
      <c r="B53" s="418"/>
      <c r="C53" s="418"/>
    </row>
    <row r="54" spans="1:4" ht="15.75" x14ac:dyDescent="0.25">
      <c r="A54" s="249" t="s">
        <v>718</v>
      </c>
      <c r="B54" s="422">
        <f>SUM(B46:B52)</f>
        <v>495263.39999999997</v>
      </c>
      <c r="C54" s="422">
        <f>SUM(C46:C52)</f>
        <v>267948.51695999998</v>
      </c>
    </row>
    <row r="55" spans="1:4" ht="15.75" x14ac:dyDescent="0.25">
      <c r="A55" s="280"/>
      <c r="B55" s="418"/>
      <c r="C55" s="418"/>
    </row>
    <row r="56" spans="1:4" ht="15.75" x14ac:dyDescent="0.25">
      <c r="A56" s="217" t="s">
        <v>719</v>
      </c>
      <c r="B56" s="418"/>
      <c r="C56" s="418"/>
    </row>
    <row r="57" spans="1:4" ht="114.75" x14ac:dyDescent="0.25">
      <c r="A57" s="255" t="s">
        <v>720</v>
      </c>
      <c r="B57" s="418">
        <f>'Проверочная  таблица'!XH38/1000</f>
        <v>483719</v>
      </c>
      <c r="C57" s="418">
        <f>'Проверочная  таблица'!XK38/1000</f>
        <v>407056.68956999993</v>
      </c>
    </row>
    <row r="58" spans="1:4" ht="76.5" x14ac:dyDescent="0.25">
      <c r="A58" s="280" t="s">
        <v>721</v>
      </c>
      <c r="B58" s="418">
        <f>'Проверочная  таблица'!XB38/1000</f>
        <v>56360.6</v>
      </c>
      <c r="C58" s="418">
        <f>'Проверочная  таблица'!XE38/1000</f>
        <v>34677.502580000008</v>
      </c>
    </row>
    <row r="59" spans="1:4" ht="63.75" x14ac:dyDescent="0.25">
      <c r="A59" s="280" t="s">
        <v>722</v>
      </c>
      <c r="B59" s="418">
        <f>'Проверочная  таблица'!WV38/1000</f>
        <v>91214.000659999991</v>
      </c>
      <c r="C59" s="418">
        <f>'Проверочная  таблица'!WY38/1000</f>
        <v>833.24456999999995</v>
      </c>
    </row>
    <row r="60" spans="1:4" ht="15.75" x14ac:dyDescent="0.25">
      <c r="A60" s="217"/>
      <c r="B60" s="418"/>
      <c r="C60" s="418"/>
    </row>
    <row r="61" spans="1:4" ht="15.75" x14ac:dyDescent="0.25">
      <c r="A61" s="249" t="s">
        <v>723</v>
      </c>
      <c r="B61" s="422">
        <f>SUM(B57:B60)</f>
        <v>631293.60066</v>
      </c>
      <c r="C61" s="422">
        <f>SUM(C57:C60)</f>
        <v>442567.43671999994</v>
      </c>
      <c r="D61" s="423">
        <f>B61-'Иные  МБТ'!D59/1000</f>
        <v>-49723.400000000023</v>
      </c>
    </row>
    <row r="62" spans="1:4" ht="15.75" x14ac:dyDescent="0.25">
      <c r="A62" s="280"/>
      <c r="B62" s="418"/>
      <c r="C62" s="418"/>
    </row>
    <row r="63" spans="1:4" ht="15.75" x14ac:dyDescent="0.25">
      <c r="A63" s="424" t="s">
        <v>724</v>
      </c>
      <c r="B63" s="425">
        <f>B54+B43+B61</f>
        <v>8222413.1633800017</v>
      </c>
      <c r="C63" s="425">
        <f>C54+C43+C61</f>
        <v>3437479.3983600009</v>
      </c>
    </row>
    <row r="64" spans="1:4" x14ac:dyDescent="0.25">
      <c r="A64" s="1777"/>
      <c r="B64" s="1777"/>
      <c r="C64" s="1777"/>
    </row>
    <row r="65" spans="1:3" x14ac:dyDescent="0.25">
      <c r="A65" s="293"/>
      <c r="B65" s="293"/>
      <c r="C65" s="293"/>
    </row>
    <row r="66" spans="1:3" x14ac:dyDescent="0.25">
      <c r="A66" s="1777" t="s">
        <v>725</v>
      </c>
      <c r="B66" s="1777"/>
      <c r="C66" s="1777"/>
    </row>
    <row r="67" spans="1:3" x14ac:dyDescent="0.25">
      <c r="A67" s="1777"/>
      <c r="B67" s="1777"/>
      <c r="C67" s="1777"/>
    </row>
    <row r="68" spans="1:3" ht="127.5" x14ac:dyDescent="0.25">
      <c r="A68" s="280" t="s">
        <v>726</v>
      </c>
      <c r="B68" s="418">
        <f>('Проверочная  таблица'!BT39)/1000</f>
        <v>0</v>
      </c>
      <c r="C68" s="418">
        <f>('Проверочная  таблица'!BU39)/1000</f>
        <v>0</v>
      </c>
    </row>
    <row r="69" spans="1:3" ht="114.75" x14ac:dyDescent="0.25">
      <c r="A69" s="280" t="s">
        <v>1300</v>
      </c>
      <c r="B69" s="418">
        <f>'Проверочная  таблица'!CC38/1000</f>
        <v>903434.72978000005</v>
      </c>
      <c r="C69" s="418">
        <f>'Проверочная  таблица'!CF38/1000</f>
        <v>0</v>
      </c>
    </row>
    <row r="70" spans="1:3" ht="114.75" x14ac:dyDescent="0.25">
      <c r="A70" s="280" t="s">
        <v>727</v>
      </c>
      <c r="B70" s="418">
        <f>'Проверочная  таблица'!CD38/1000</f>
        <v>315676</v>
      </c>
      <c r="C70" s="418">
        <f>'Проверочная  таблица'!CG38/1000</f>
        <v>3599</v>
      </c>
    </row>
    <row r="71" spans="1:3" ht="15.75" x14ac:dyDescent="0.25">
      <c r="A71" s="280"/>
      <c r="B71" s="418"/>
      <c r="C71" s="418"/>
    </row>
    <row r="72" spans="1:3" ht="15.75" x14ac:dyDescent="0.25">
      <c r="A72" s="249" t="s">
        <v>728</v>
      </c>
      <c r="B72" s="422">
        <f>SUM(B68:B71)</f>
        <v>1219110.7297800002</v>
      </c>
      <c r="C72" s="422">
        <f>SUM(C68:C71)</f>
        <v>3599</v>
      </c>
    </row>
    <row r="73" spans="1:3" ht="15.75" x14ac:dyDescent="0.25">
      <c r="A73" s="280"/>
      <c r="B73" s="418"/>
      <c r="C73" s="418"/>
    </row>
    <row r="74" spans="1:3" ht="15.75" x14ac:dyDescent="0.25">
      <c r="A74" s="424" t="s">
        <v>8</v>
      </c>
      <c r="B74" s="426">
        <f>B63+B72</f>
        <v>9441523.8931600023</v>
      </c>
      <c r="C74" s="426">
        <f>C63+C72</f>
        <v>3441078.3983600009</v>
      </c>
    </row>
    <row r="75" spans="1:3" x14ac:dyDescent="0.25">
      <c r="B75" s="427">
        <f>B74-'Федеральные  средства  по  МО'!B36/1000</f>
        <v>0</v>
      </c>
      <c r="C75" s="427">
        <f>C74-'Федеральные  средства  по  МО'!C36/1000</f>
        <v>0</v>
      </c>
    </row>
  </sheetData>
  <mergeCells count="5">
    <mergeCell ref="A2:C2"/>
    <mergeCell ref="A3:C3"/>
    <mergeCell ref="A64:C64"/>
    <mergeCell ref="A66:C66"/>
    <mergeCell ref="A67:C67"/>
  </mergeCells>
  <pageMargins left="0.78740157480314965" right="0.39370078740157483" top="0.78740157480314965" bottom="0.78740157480314965" header="0.51181102362204722" footer="0.51181102362204722"/>
  <pageSetup paperSize="9" scale="80" fitToHeight="8" orientation="portrait"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2"/>
  <sheetViews>
    <sheetView zoomScale="55" zoomScaleNormal="55" workbookViewId="0">
      <pane xSplit="1" ySplit="9" topLeftCell="B11" activePane="bottomRight" state="frozen"/>
      <selection pane="topRight" activeCell="B1" sqref="B1"/>
      <selection pane="bottomLeft" activeCell="A9" sqref="A9"/>
      <selection pane="bottomRight" activeCell="B13" sqref="B13"/>
    </sheetView>
  </sheetViews>
  <sheetFormatPr defaultColWidth="8.85546875" defaultRowHeight="12.75" x14ac:dyDescent="0.25"/>
  <cols>
    <col min="1" max="1" width="19.140625" style="244" customWidth="1"/>
    <col min="2" max="3" width="21.5703125" style="244" bestFit="1" customWidth="1"/>
    <col min="4" max="4" width="20.42578125" style="244" customWidth="1"/>
    <col min="5" max="5" width="19.5703125" style="244" bestFit="1" customWidth="1"/>
    <col min="6" max="7" width="21.5703125" style="244" bestFit="1" customWidth="1"/>
    <col min="8" max="8" width="19.85546875" style="244" customWidth="1"/>
    <col min="9" max="9" width="18.5703125" style="244" bestFit="1" customWidth="1"/>
    <col min="10" max="16384" width="8.85546875" style="244"/>
  </cols>
  <sheetData>
    <row r="2" spans="1:9" ht="15.75" x14ac:dyDescent="0.25">
      <c r="A2" s="1780" t="s">
        <v>652</v>
      </c>
      <c r="B2" s="1780"/>
      <c r="C2" s="1780"/>
      <c r="D2" s="1780"/>
      <c r="E2" s="1780"/>
      <c r="F2" s="1780"/>
      <c r="G2" s="1780"/>
      <c r="H2" s="1780"/>
      <c r="I2" s="1780"/>
    </row>
    <row r="3" spans="1:9" ht="15.75" x14ac:dyDescent="0.25">
      <c r="A3" s="1781" t="str">
        <f>'Район  и  поселения'!E3</f>
        <v>ПО  СОСТОЯНИЮ  НА  1  ИЮЛЯ  2024  ГОДА</v>
      </c>
      <c r="B3" s="1781"/>
      <c r="C3" s="1781"/>
      <c r="D3" s="1781"/>
      <c r="E3" s="1781"/>
      <c r="F3" s="1781"/>
      <c r="G3" s="1781"/>
      <c r="H3" s="1781"/>
      <c r="I3" s="1781"/>
    </row>
    <row r="5" spans="1:9" x14ac:dyDescent="0.25">
      <c r="H5" s="244" t="s">
        <v>371</v>
      </c>
    </row>
    <row r="6" spans="1:9" x14ac:dyDescent="0.25">
      <c r="A6" s="1777" t="s">
        <v>357</v>
      </c>
      <c r="B6" s="1782" t="s">
        <v>359</v>
      </c>
      <c r="C6" s="1783"/>
      <c r="D6" s="1783"/>
      <c r="E6" s="1784"/>
      <c r="F6" s="1782" t="s">
        <v>664</v>
      </c>
      <c r="G6" s="1783"/>
      <c r="H6" s="1783"/>
      <c r="I6" s="1784"/>
    </row>
    <row r="7" spans="1:9" x14ac:dyDescent="0.25">
      <c r="A7" s="1777"/>
      <c r="B7" s="1777" t="s">
        <v>31</v>
      </c>
      <c r="C7" s="1785" t="s">
        <v>376</v>
      </c>
      <c r="D7" s="1785"/>
      <c r="E7" s="1785"/>
      <c r="F7" s="1785" t="s">
        <v>31</v>
      </c>
      <c r="G7" s="1785" t="s">
        <v>376</v>
      </c>
      <c r="H7" s="1785"/>
      <c r="I7" s="1785"/>
    </row>
    <row r="8" spans="1:9" x14ac:dyDescent="0.25">
      <c r="A8" s="1777"/>
      <c r="B8" s="1777"/>
      <c r="C8" s="1778" t="s">
        <v>665</v>
      </c>
      <c r="D8" s="396" t="s">
        <v>666</v>
      </c>
      <c r="E8" s="1778" t="s">
        <v>667</v>
      </c>
      <c r="F8" s="1785"/>
      <c r="G8" s="1778" t="s">
        <v>665</v>
      </c>
      <c r="H8" s="396" t="s">
        <v>666</v>
      </c>
      <c r="I8" s="1778" t="s">
        <v>667</v>
      </c>
    </row>
    <row r="9" spans="1:9" ht="45.6" customHeight="1" x14ac:dyDescent="0.25">
      <c r="A9" s="1777"/>
      <c r="B9" s="1777"/>
      <c r="C9" s="1779"/>
      <c r="D9" s="396" t="s">
        <v>398</v>
      </c>
      <c r="E9" s="1779"/>
      <c r="F9" s="1785"/>
      <c r="G9" s="1779"/>
      <c r="H9" s="396" t="s">
        <v>398</v>
      </c>
      <c r="I9" s="1779"/>
    </row>
    <row r="10" spans="1:9" ht="15" x14ac:dyDescent="0.25">
      <c r="A10" s="403"/>
      <c r="B10" s="401"/>
      <c r="C10" s="401"/>
      <c r="D10" s="401"/>
      <c r="E10" s="401"/>
      <c r="F10" s="401"/>
      <c r="G10" s="401"/>
      <c r="H10" s="401"/>
      <c r="I10" s="401"/>
    </row>
    <row r="11" spans="1:9" ht="76.5" x14ac:dyDescent="0.25">
      <c r="A11" s="397" t="s">
        <v>668</v>
      </c>
      <c r="B11" s="401">
        <f>'[2]Исполнение  по  дотации'!$B$37*1000</f>
        <v>7740447630.8400002</v>
      </c>
      <c r="C11" s="401">
        <f>'[2]Исполнение  по  дотации'!$B$46*1000</f>
        <v>7740447630.8400002</v>
      </c>
      <c r="D11" s="401"/>
      <c r="E11" s="401">
        <f>'[2]Исполнение  по  дотации'!$B$47*1000</f>
        <v>0</v>
      </c>
      <c r="F11" s="401">
        <f>'[2]Исполнение  по  дотации'!$E$37*1000</f>
        <v>3220096364.3299999</v>
      </c>
      <c r="G11" s="401">
        <f>'[2]Исполнение  по  дотации'!$E$46*1000</f>
        <v>3220096364.3299999</v>
      </c>
      <c r="H11" s="401"/>
      <c r="I11" s="401">
        <f>'[2]Исполнение  по  дотации'!$E$47*1000</f>
        <v>0</v>
      </c>
    </row>
    <row r="12" spans="1:9" ht="15" x14ac:dyDescent="0.25">
      <c r="A12" s="397"/>
      <c r="B12" s="401"/>
      <c r="C12" s="401"/>
      <c r="D12" s="401"/>
      <c r="E12" s="401"/>
      <c r="F12" s="401"/>
      <c r="G12" s="401"/>
      <c r="H12" s="401"/>
      <c r="I12" s="401"/>
    </row>
    <row r="13" spans="1:9" ht="102" x14ac:dyDescent="0.25">
      <c r="A13" s="397" t="s">
        <v>669</v>
      </c>
      <c r="B13" s="401">
        <f>'[2]Исполнение  по  субсидии'!$B$38*1000</f>
        <v>15105033893.67</v>
      </c>
      <c r="C13" s="401">
        <f>'[2]Исполнение  по  субсидии'!$B$50*1000</f>
        <v>15105033893.67</v>
      </c>
      <c r="D13" s="401">
        <f>'[2]Исполнение  по  субсидии'!$B$47*1000</f>
        <v>6490118251.1499996</v>
      </c>
      <c r="E13" s="401">
        <f>'[2]Исполнение  по  субсидии'!$B$51*1000</f>
        <v>0</v>
      </c>
      <c r="F13" s="401">
        <f>'[2]Исполнение  по  субсидии'!$C$38*1000</f>
        <v>4780298780.6099997</v>
      </c>
      <c r="G13" s="401">
        <f>'[2]Исполнение  по  субсидии'!$C$50*1000</f>
        <v>4780298780.6099997</v>
      </c>
      <c r="H13" s="401">
        <f>'[2]Исполнение  по  субсидии'!$C$47*1000</f>
        <v>2726963444.6799998</v>
      </c>
      <c r="I13" s="401">
        <f>'[2]Исполнение  по  субсидии'!$C$51*1000</f>
        <v>0</v>
      </c>
    </row>
    <row r="14" spans="1:9" ht="15" x14ac:dyDescent="0.25">
      <c r="A14" s="397"/>
      <c r="B14" s="401"/>
      <c r="C14" s="401"/>
      <c r="D14" s="401"/>
      <c r="E14" s="401"/>
      <c r="F14" s="401"/>
      <c r="G14" s="401"/>
      <c r="H14" s="401"/>
      <c r="I14" s="401"/>
    </row>
    <row r="15" spans="1:9" ht="76.5" x14ac:dyDescent="0.25">
      <c r="A15" s="397" t="s">
        <v>670</v>
      </c>
      <c r="B15" s="401">
        <f>'[2]Исполнение  по  субвенции'!$B$38*1000</f>
        <v>16481127177.01</v>
      </c>
      <c r="C15" s="401">
        <f>'[2]Исполнение  по  субвенции'!$B$50*1000</f>
        <v>16420610012.970001</v>
      </c>
      <c r="D15" s="401">
        <f>'[2]Исполнение  по  субвенции'!$B$47*1000</f>
        <v>495263400</v>
      </c>
      <c r="E15" s="401">
        <f>'[2]Исполнение  по  субвенции'!$B$51*1000</f>
        <v>60517164.039999999</v>
      </c>
      <c r="F15" s="401">
        <f>'[2]Исполнение  по  субвенции'!$G$38*1000</f>
        <v>9430506913.5100002</v>
      </c>
      <c r="G15" s="401">
        <f>'[2]Исполнение  по  субвенции'!$G$50*1000</f>
        <v>9407770478.2600002</v>
      </c>
      <c r="H15" s="401">
        <f>'[2]Исполнение  по  субвенции'!$G$47*1000</f>
        <v>267948516.95999998</v>
      </c>
      <c r="I15" s="401">
        <f>'[2]Исполнение  по  субвенции'!$G$51*1000</f>
        <v>22736435.25</v>
      </c>
    </row>
    <row r="16" spans="1:9" ht="15" x14ac:dyDescent="0.25">
      <c r="A16" s="397"/>
      <c r="B16" s="401"/>
      <c r="C16" s="401"/>
      <c r="D16" s="401"/>
      <c r="E16" s="401"/>
      <c r="F16" s="401"/>
      <c r="G16" s="401"/>
      <c r="H16" s="401"/>
      <c r="I16" s="401"/>
    </row>
    <row r="17" spans="1:9" ht="38.25" x14ac:dyDescent="0.25">
      <c r="A17" s="397" t="s">
        <v>671</v>
      </c>
      <c r="B17" s="401">
        <f>'[2]Исполнение  по  иным  МБТ'!$B$36*1000</f>
        <v>3058557091.5200005</v>
      </c>
      <c r="C17" s="401">
        <f>'[2]Исполнение  по  иным  МБТ'!$B$48*1000</f>
        <v>2927148508.1700001</v>
      </c>
      <c r="D17" s="401">
        <f>'[2]Исполнение  по  иным  МБТ'!$B$45*1000</f>
        <v>631293600.65999985</v>
      </c>
      <c r="E17" s="401">
        <f>'[2]Исполнение  по  иным  МБТ'!$B$49*1000</f>
        <v>131408583.34999999</v>
      </c>
      <c r="F17" s="401">
        <f>'[2]Исполнение  по  иным  МБТ'!$G$36*1000</f>
        <v>1007665456.8000002</v>
      </c>
      <c r="G17" s="401">
        <f>'[2]Исполнение  по  иным  МБТ'!$G$48*1000</f>
        <v>976259236.79000008</v>
      </c>
      <c r="H17" s="401">
        <f>'[2]Исполнение  по  иным  МБТ'!$G$45*1000</f>
        <v>442567436.72000003</v>
      </c>
      <c r="I17" s="401">
        <f>'[2]Исполнение  по  иным  МБТ'!$G$49*1000</f>
        <v>31406220.010000009</v>
      </c>
    </row>
    <row r="18" spans="1:9" ht="15" x14ac:dyDescent="0.25">
      <c r="A18" s="397"/>
      <c r="B18" s="401"/>
      <c r="C18" s="401"/>
      <c r="D18" s="401"/>
      <c r="E18" s="401"/>
      <c r="F18" s="401"/>
      <c r="G18" s="401"/>
      <c r="H18" s="401"/>
      <c r="I18" s="401"/>
    </row>
    <row r="19" spans="1:9" ht="15" x14ac:dyDescent="0.25">
      <c r="A19" s="412" t="s">
        <v>8</v>
      </c>
      <c r="B19" s="413">
        <f t="shared" ref="B19:I19" si="0">SUM(B11:B18)</f>
        <v>42385165793.040009</v>
      </c>
      <c r="C19" s="413">
        <f t="shared" si="0"/>
        <v>42193240045.650002</v>
      </c>
      <c r="D19" s="413">
        <f t="shared" si="0"/>
        <v>7616675251.8099995</v>
      </c>
      <c r="E19" s="413">
        <f t="shared" si="0"/>
        <v>191925747.38999999</v>
      </c>
      <c r="F19" s="413">
        <f t="shared" si="0"/>
        <v>18438567515.25</v>
      </c>
      <c r="G19" s="413">
        <f t="shared" si="0"/>
        <v>18384424859.990002</v>
      </c>
      <c r="H19" s="413">
        <f t="shared" si="0"/>
        <v>3437479398.3599997</v>
      </c>
      <c r="I19" s="413">
        <f t="shared" si="0"/>
        <v>54142655.260000005</v>
      </c>
    </row>
    <row r="20" spans="1:9" ht="15" x14ac:dyDescent="0.25">
      <c r="A20" s="396" t="s">
        <v>376</v>
      </c>
      <c r="B20" s="399"/>
      <c r="C20" s="399"/>
      <c r="D20" s="399"/>
      <c r="E20" s="399"/>
      <c r="F20" s="399"/>
      <c r="G20" s="399"/>
      <c r="H20" s="399"/>
      <c r="I20" s="399"/>
    </row>
    <row r="21" spans="1:9" ht="30" x14ac:dyDescent="0.25">
      <c r="A21" s="256" t="s">
        <v>672</v>
      </c>
      <c r="B21" s="222">
        <f t="shared" ref="B21:I21" si="1">B19-B11</f>
        <v>34644718162.200012</v>
      </c>
      <c r="C21" s="222">
        <f t="shared" si="1"/>
        <v>34452792414.809998</v>
      </c>
      <c r="D21" s="222">
        <f t="shared" si="1"/>
        <v>7616675251.8099995</v>
      </c>
      <c r="E21" s="222">
        <f t="shared" si="1"/>
        <v>191925747.38999999</v>
      </c>
      <c r="F21" s="222">
        <f t="shared" si="1"/>
        <v>15218471150.92</v>
      </c>
      <c r="G21" s="222">
        <f t="shared" si="1"/>
        <v>15164328495.660002</v>
      </c>
      <c r="H21" s="222">
        <f t="shared" si="1"/>
        <v>3437479398.3599997</v>
      </c>
      <c r="I21" s="222">
        <f t="shared" si="1"/>
        <v>54142655.260000005</v>
      </c>
    </row>
    <row r="22" spans="1:9" s="415" customFormat="1" ht="15" x14ac:dyDescent="0.25">
      <c r="B22" s="416">
        <f>B19-'Проверочная  таблица'!B38</f>
        <v>-2843391471.9999924</v>
      </c>
      <c r="C22" s="416">
        <f>B19-C19-E19</f>
        <v>7.0333480834960938E-6</v>
      </c>
      <c r="D22" s="416">
        <f>D21-('Федеральные  средства'!B43+'Федеральные  средства'!B54+'Федеральные  средства'!B61)*1000</f>
        <v>-605737911.57000256</v>
      </c>
      <c r="E22" s="416">
        <f>E21-('[2]Исполнение  по  дотации'!$B$47+'[2]Исполнение  по  субсидии'!$B$51+'[2]Исполнение  по  субвенции'!$B$51+'[2]Исполнение  по  иным  МБТ'!$B$49)*1000</f>
        <v>0</v>
      </c>
      <c r="F22" s="416">
        <f>F19-'Проверочная  таблица'!C38</f>
        <v>0</v>
      </c>
      <c r="G22" s="416">
        <f>F19-G19-I19</f>
        <v>-1.6838312149047852E-6</v>
      </c>
      <c r="H22" s="416">
        <f>H21-('Федеральные  средства'!C61+'Федеральные  средства'!C54+'Федеральные  средства'!C43)*1000</f>
        <v>0</v>
      </c>
      <c r="I22" s="416">
        <f>I21-('[2]Исполнение  по  дотации'!$E$47+'[2]Исполнение  по  субсидии'!$C$51+'[2]Исполнение  по  субвенции'!$G$51+'[2]Исполнение  по  иным  МБТ'!$G$49)*1000</f>
        <v>0</v>
      </c>
    </row>
  </sheetData>
  <mergeCells count="13">
    <mergeCell ref="E8:E9"/>
    <mergeCell ref="G8:G9"/>
    <mergeCell ref="I8:I9"/>
    <mergeCell ref="A2:I2"/>
    <mergeCell ref="A3:I3"/>
    <mergeCell ref="A6:A9"/>
    <mergeCell ref="B6:E6"/>
    <mergeCell ref="F6:I6"/>
    <mergeCell ref="B7:B9"/>
    <mergeCell ref="C7:E7"/>
    <mergeCell ref="F7:F9"/>
    <mergeCell ref="G7:I7"/>
    <mergeCell ref="C8:C9"/>
  </mergeCells>
  <pageMargins left="0.78740157480314965" right="0.39370078740157483" top="0.78740157480314965" bottom="0.78740157480314965" header="0.51181102362204722" footer="0.51181102362204722"/>
  <pageSetup paperSize="9" scale="72"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30</vt:i4>
      </vt:variant>
    </vt:vector>
  </HeadingPairs>
  <TitlesOfParts>
    <vt:vector size="50" baseType="lpstr">
      <vt:lpstr>МБТ - исполнение</vt: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Дотация</vt:lpstr>
      <vt:lpstr>Субсидия</vt:lpstr>
      <vt:lpstr>Субвенция</vt:lpstr>
      <vt:lpstr>Иные  МБТ</vt:lpstr>
      <vt:lpstr>субсидия  фед.</vt:lpstr>
      <vt:lpstr>субсидия  ВР 522</vt:lpstr>
      <vt:lpstr>субсидия  ВР 523</vt:lpstr>
      <vt:lpstr>Федеральная  субсидия</vt:lpstr>
      <vt:lpstr>ВУС</vt:lpstr>
      <vt:lpstr>Бюджетирование</vt:lpstr>
      <vt:lpstr>Бюджетирование!Заголовки_для_печати</vt:lpstr>
      <vt:lpstr>ВУС!Заголовки_для_печати</vt:lpstr>
      <vt:lpstr>'Иные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'субсидия  ВР 523'!Заголовки_для_печати</vt:lpstr>
      <vt:lpstr>'субсидия  фед.'!Заголовки_для_печати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ВУС!Область_печати</vt:lpstr>
      <vt:lpstr>Дотация!Область_печати</vt:lpstr>
      <vt:lpstr>'Иные  МБТ'!Область_печати</vt:lpstr>
      <vt:lpstr>'МБТ  по  видам  расходов'!Область_печати</vt:lpstr>
      <vt:lpstr>'МБТ  по  программам'!Область_печати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Субвенция!Область_печати</vt:lpstr>
      <vt:lpstr>'Субвенция  на  полномочия'!Область_печати</vt:lpstr>
      <vt:lpstr>Субсидия!Область_печати</vt:lpstr>
      <vt:lpstr>'Федеральные  средства'!Область_печати</vt:lpstr>
      <vt:lpstr>'Федеральные  средства  по  МО'!Область_печати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u1598</dc:creator>
  <cp:lastModifiedBy>u1533</cp:lastModifiedBy>
  <cp:lastPrinted>2024-07-04T13:40:55Z</cp:lastPrinted>
  <dcterms:created xsi:type="dcterms:W3CDTF">2024-03-04T08:41:03Z</dcterms:created>
  <dcterms:modified xsi:type="dcterms:W3CDTF">2024-07-19T11:59:45Z</dcterms:modified>
</cp:coreProperties>
</file>