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"/>
    </mc:Choice>
  </mc:AlternateContent>
  <xr:revisionPtr revIDLastSave="0" documentId="13_ncr:1_{17F5745E-33A3-4347-9DCA-6EAAD6C12738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за 2022 год" sheetId="1" state="hidden" r:id="rId1"/>
    <sheet name="за 2023 год" sheetId="2" r:id="rId2"/>
  </sheets>
  <definedNames>
    <definedName name="_xlnm.Print_Titles" localSheetId="1">'за 2023 год'!$6:$6</definedName>
    <definedName name="_xlnm.Print_Area" localSheetId="1">'за 2023 год'!$A$1:$O$94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2" l="1"/>
  <c r="L15" i="2"/>
  <c r="J9" i="2"/>
  <c r="J15" i="2"/>
  <c r="H9" i="2"/>
  <c r="H15" i="2"/>
  <c r="M11" i="2" l="1"/>
  <c r="L10" i="2"/>
  <c r="M13" i="2"/>
  <c r="M14" i="2"/>
  <c r="M12" i="2"/>
  <c r="M15" i="2"/>
  <c r="N15" i="2"/>
  <c r="K15" i="2"/>
  <c r="K10" i="2"/>
  <c r="K14" i="2"/>
  <c r="K13" i="2"/>
  <c r="K11" i="2"/>
  <c r="I13" i="2"/>
  <c r="G13" i="2"/>
  <c r="I10" i="2"/>
  <c r="G10" i="2"/>
  <c r="I14" i="2"/>
  <c r="G14" i="2"/>
  <c r="G8" i="2"/>
  <c r="I12" i="2"/>
  <c r="I11" i="2"/>
  <c r="O21" i="2" l="1"/>
  <c r="O22" i="2"/>
  <c r="O23" i="2"/>
  <c r="O24" i="2"/>
  <c r="O25" i="2"/>
  <c r="O26" i="2"/>
  <c r="O27" i="2"/>
  <c r="O28" i="2"/>
  <c r="O20" i="2"/>
  <c r="O19" i="2" l="1"/>
  <c r="O96" i="2" s="1"/>
  <c r="O17" i="2"/>
  <c r="O35" i="2"/>
  <c r="O36" i="2"/>
  <c r="I29" i="2"/>
  <c r="F39" i="2"/>
  <c r="O93" i="2" l="1"/>
  <c r="O94" i="2"/>
  <c r="O92" i="2"/>
  <c r="O90" i="2"/>
  <c r="O86" i="2"/>
  <c r="O87" i="2"/>
  <c r="O88" i="2"/>
  <c r="O82" i="2"/>
  <c r="O83" i="2"/>
  <c r="O84" i="2"/>
  <c r="O76" i="2"/>
  <c r="O77" i="2"/>
  <c r="O78" i="2"/>
  <c r="O79" i="2"/>
  <c r="O80" i="2"/>
  <c r="O69" i="2"/>
  <c r="O70" i="2"/>
  <c r="O71" i="2"/>
  <c r="O72" i="2"/>
  <c r="O73" i="2"/>
  <c r="O74" i="2"/>
  <c r="O66" i="2"/>
  <c r="O67" i="2"/>
  <c r="O58" i="2"/>
  <c r="O59" i="2"/>
  <c r="O60" i="2"/>
  <c r="O61" i="2"/>
  <c r="O62" i="2"/>
  <c r="O63" i="2"/>
  <c r="O64" i="2"/>
  <c r="O55" i="2"/>
  <c r="O56" i="2"/>
  <c r="O51" i="2"/>
  <c r="O52" i="2"/>
  <c r="O53" i="2"/>
  <c r="O50" i="2"/>
  <c r="O9" i="2"/>
  <c r="O7" i="2"/>
  <c r="O43" i="2"/>
  <c r="O41" i="2"/>
  <c r="O42" i="2"/>
  <c r="O44" i="2"/>
  <c r="O45" i="2"/>
  <c r="O46" i="2"/>
  <c r="O47" i="2"/>
  <c r="O48" i="2"/>
  <c r="O40" i="2"/>
  <c r="O37" i="2"/>
  <c r="O38" i="2"/>
  <c r="O34" i="2"/>
  <c r="O31" i="2"/>
  <c r="O30" i="2"/>
  <c r="O15" i="2"/>
  <c r="G11" i="2"/>
  <c r="H11" i="2" s="1"/>
  <c r="H14" i="2"/>
  <c r="F8" i="2"/>
  <c r="N94" i="2"/>
  <c r="L94" i="2"/>
  <c r="J94" i="2"/>
  <c r="H94" i="2"/>
  <c r="N93" i="2"/>
  <c r="L93" i="2"/>
  <c r="J93" i="2"/>
  <c r="H93" i="2"/>
  <c r="N92" i="2"/>
  <c r="L92" i="2"/>
  <c r="J92" i="2"/>
  <c r="H92" i="2"/>
  <c r="M91" i="2"/>
  <c r="K91" i="2"/>
  <c r="I91" i="2"/>
  <c r="G91" i="2"/>
  <c r="F91" i="2"/>
  <c r="E91" i="2"/>
  <c r="D91" i="2"/>
  <c r="N90" i="2"/>
  <c r="N89" i="2" s="1"/>
  <c r="L90" i="2"/>
  <c r="L89" i="2" s="1"/>
  <c r="J90" i="2"/>
  <c r="J89" i="2" s="1"/>
  <c r="H90" i="2"/>
  <c r="H89" i="2" s="1"/>
  <c r="M89" i="2"/>
  <c r="K89" i="2"/>
  <c r="I89" i="2"/>
  <c r="G89" i="2"/>
  <c r="F89" i="2"/>
  <c r="E89" i="2"/>
  <c r="D89" i="2"/>
  <c r="N88" i="2"/>
  <c r="L88" i="2"/>
  <c r="J88" i="2"/>
  <c r="H88" i="2"/>
  <c r="N87" i="2"/>
  <c r="L87" i="2"/>
  <c r="J87" i="2"/>
  <c r="H87" i="2"/>
  <c r="N86" i="2"/>
  <c r="L86" i="2"/>
  <c r="J86" i="2"/>
  <c r="H86" i="2"/>
  <c r="M85" i="2"/>
  <c r="K85" i="2"/>
  <c r="I85" i="2"/>
  <c r="G85" i="2"/>
  <c r="F85" i="2"/>
  <c r="E85" i="2"/>
  <c r="D85" i="2"/>
  <c r="N84" i="2"/>
  <c r="L84" i="2"/>
  <c r="J84" i="2"/>
  <c r="H84" i="2"/>
  <c r="N83" i="2"/>
  <c r="L83" i="2"/>
  <c r="J83" i="2"/>
  <c r="H83" i="2"/>
  <c r="N82" i="2"/>
  <c r="L82" i="2"/>
  <c r="J82" i="2"/>
  <c r="H82" i="2"/>
  <c r="M81" i="2"/>
  <c r="K81" i="2"/>
  <c r="I81" i="2"/>
  <c r="G81" i="2"/>
  <c r="F81" i="2"/>
  <c r="D81" i="2"/>
  <c r="N80" i="2"/>
  <c r="L80" i="2"/>
  <c r="J80" i="2"/>
  <c r="H80" i="2"/>
  <c r="N79" i="2"/>
  <c r="L79" i="2"/>
  <c r="J79" i="2"/>
  <c r="H79" i="2"/>
  <c r="N78" i="2"/>
  <c r="L78" i="2"/>
  <c r="J78" i="2"/>
  <c r="H78" i="2"/>
  <c r="N77" i="2"/>
  <c r="L77" i="2"/>
  <c r="J77" i="2"/>
  <c r="H77" i="2"/>
  <c r="N76" i="2"/>
  <c r="L76" i="2"/>
  <c r="J76" i="2"/>
  <c r="H76" i="2"/>
  <c r="M75" i="2"/>
  <c r="K75" i="2"/>
  <c r="I75" i="2"/>
  <c r="G75" i="2"/>
  <c r="F75" i="2"/>
  <c r="E75" i="2"/>
  <c r="D75" i="2"/>
  <c r="N74" i="2"/>
  <c r="L74" i="2"/>
  <c r="J74" i="2"/>
  <c r="H74" i="2"/>
  <c r="N73" i="2"/>
  <c r="L73" i="2"/>
  <c r="J73" i="2"/>
  <c r="H73" i="2"/>
  <c r="N72" i="2"/>
  <c r="L72" i="2"/>
  <c r="J72" i="2"/>
  <c r="H72" i="2"/>
  <c r="N71" i="2"/>
  <c r="L71" i="2"/>
  <c r="J71" i="2"/>
  <c r="H71" i="2"/>
  <c r="N70" i="2"/>
  <c r="L70" i="2"/>
  <c r="J70" i="2"/>
  <c r="H70" i="2"/>
  <c r="N69" i="2"/>
  <c r="L69" i="2"/>
  <c r="J69" i="2"/>
  <c r="H69" i="2"/>
  <c r="M68" i="2"/>
  <c r="K68" i="2"/>
  <c r="I68" i="2"/>
  <c r="G68" i="2"/>
  <c r="F68" i="2"/>
  <c r="E68" i="2"/>
  <c r="D68" i="2"/>
  <c r="N67" i="2"/>
  <c r="L67" i="2"/>
  <c r="J67" i="2"/>
  <c r="H67" i="2"/>
  <c r="N66" i="2"/>
  <c r="N65" i="2" s="1"/>
  <c r="L66" i="2"/>
  <c r="J66" i="2"/>
  <c r="H66" i="2"/>
  <c r="M65" i="2"/>
  <c r="K65" i="2"/>
  <c r="I65" i="2"/>
  <c r="G65" i="2"/>
  <c r="F65" i="2"/>
  <c r="O65" i="2" s="1"/>
  <c r="E65" i="2"/>
  <c r="D65" i="2"/>
  <c r="N64" i="2"/>
  <c r="L64" i="2"/>
  <c r="J64" i="2"/>
  <c r="H64" i="2"/>
  <c r="N63" i="2"/>
  <c r="L63" i="2"/>
  <c r="J63" i="2"/>
  <c r="H63" i="2"/>
  <c r="N62" i="2"/>
  <c r="L62" i="2"/>
  <c r="J62" i="2"/>
  <c r="H62" i="2"/>
  <c r="N61" i="2"/>
  <c r="L61" i="2"/>
  <c r="J61" i="2"/>
  <c r="H61" i="2"/>
  <c r="N60" i="2"/>
  <c r="L60" i="2"/>
  <c r="J60" i="2"/>
  <c r="H60" i="2"/>
  <c r="N59" i="2"/>
  <c r="L59" i="2"/>
  <c r="J59" i="2"/>
  <c r="H59" i="2"/>
  <c r="N58" i="2"/>
  <c r="L58" i="2"/>
  <c r="J58" i="2"/>
  <c r="H58" i="2"/>
  <c r="M57" i="2"/>
  <c r="K57" i="2"/>
  <c r="I57" i="2"/>
  <c r="G57" i="2"/>
  <c r="F57" i="2"/>
  <c r="E57" i="2"/>
  <c r="D57" i="2"/>
  <c r="N56" i="2"/>
  <c r="L56" i="2"/>
  <c r="J56" i="2"/>
  <c r="H56" i="2"/>
  <c r="N55" i="2"/>
  <c r="L55" i="2"/>
  <c r="J55" i="2"/>
  <c r="H55" i="2"/>
  <c r="M54" i="2"/>
  <c r="K54" i="2"/>
  <c r="I54" i="2"/>
  <c r="G54" i="2"/>
  <c r="F54" i="2"/>
  <c r="E54" i="2"/>
  <c r="D54" i="2"/>
  <c r="N53" i="2"/>
  <c r="L53" i="2"/>
  <c r="J53" i="2"/>
  <c r="H53" i="2"/>
  <c r="N52" i="2"/>
  <c r="L52" i="2"/>
  <c r="J52" i="2"/>
  <c r="H52" i="2"/>
  <c r="N51" i="2"/>
  <c r="L51" i="2"/>
  <c r="J51" i="2"/>
  <c r="H51" i="2"/>
  <c r="N50" i="2"/>
  <c r="L50" i="2"/>
  <c r="J50" i="2"/>
  <c r="H50" i="2"/>
  <c r="M49" i="2"/>
  <c r="K49" i="2"/>
  <c r="I49" i="2"/>
  <c r="G49" i="2"/>
  <c r="F49" i="2"/>
  <c r="E49" i="2"/>
  <c r="D49" i="2"/>
  <c r="N48" i="2"/>
  <c r="L48" i="2"/>
  <c r="J48" i="2"/>
  <c r="H48" i="2"/>
  <c r="N47" i="2"/>
  <c r="L47" i="2"/>
  <c r="J47" i="2"/>
  <c r="H47" i="2"/>
  <c r="N46" i="2"/>
  <c r="L46" i="2"/>
  <c r="J46" i="2"/>
  <c r="H46" i="2"/>
  <c r="N45" i="2"/>
  <c r="L45" i="2"/>
  <c r="J45" i="2"/>
  <c r="H45" i="2"/>
  <c r="N44" i="2"/>
  <c r="L44" i="2"/>
  <c r="J44" i="2"/>
  <c r="H44" i="2"/>
  <c r="N43" i="2"/>
  <c r="L43" i="2"/>
  <c r="J43" i="2"/>
  <c r="H43" i="2"/>
  <c r="N42" i="2"/>
  <c r="L42" i="2"/>
  <c r="J42" i="2"/>
  <c r="H42" i="2"/>
  <c r="N41" i="2"/>
  <c r="L41" i="2"/>
  <c r="J41" i="2"/>
  <c r="H41" i="2"/>
  <c r="N40" i="2"/>
  <c r="L40" i="2"/>
  <c r="J40" i="2"/>
  <c r="H40" i="2"/>
  <c r="M39" i="2"/>
  <c r="K39" i="2"/>
  <c r="I39" i="2"/>
  <c r="G39" i="2"/>
  <c r="E39" i="2"/>
  <c r="D39" i="2"/>
  <c r="N38" i="2"/>
  <c r="L38" i="2"/>
  <c r="J38" i="2"/>
  <c r="H38" i="2"/>
  <c r="N37" i="2"/>
  <c r="L37" i="2"/>
  <c r="J37" i="2"/>
  <c r="H37" i="2"/>
  <c r="N36" i="2"/>
  <c r="L36" i="2"/>
  <c r="J36" i="2"/>
  <c r="H36" i="2"/>
  <c r="N35" i="2"/>
  <c r="L35" i="2"/>
  <c r="J35" i="2"/>
  <c r="H35" i="2"/>
  <c r="N34" i="2"/>
  <c r="L34" i="2"/>
  <c r="J34" i="2"/>
  <c r="H34" i="2"/>
  <c r="M32" i="2"/>
  <c r="K32" i="2"/>
  <c r="I32" i="2"/>
  <c r="G32" i="2"/>
  <c r="F32" i="2"/>
  <c r="E32" i="2"/>
  <c r="D32" i="2"/>
  <c r="N31" i="2"/>
  <c r="L31" i="2"/>
  <c r="J31" i="2"/>
  <c r="H31" i="2"/>
  <c r="N30" i="2"/>
  <c r="L30" i="2"/>
  <c r="J30" i="2"/>
  <c r="H30" i="2"/>
  <c r="M29" i="2"/>
  <c r="K29" i="2"/>
  <c r="G29" i="2"/>
  <c r="F29" i="2"/>
  <c r="D29" i="2"/>
  <c r="N28" i="2"/>
  <c r="L28" i="2"/>
  <c r="J28" i="2"/>
  <c r="H28" i="2"/>
  <c r="N27" i="2"/>
  <c r="L27" i="2"/>
  <c r="J27" i="2"/>
  <c r="H27" i="2"/>
  <c r="N25" i="2"/>
  <c r="L25" i="2"/>
  <c r="J25" i="2"/>
  <c r="H25" i="2"/>
  <c r="N24" i="2"/>
  <c r="L24" i="2"/>
  <c r="J24" i="2"/>
  <c r="H24" i="2"/>
  <c r="N23" i="2"/>
  <c r="L23" i="2"/>
  <c r="J23" i="2"/>
  <c r="H23" i="2"/>
  <c r="N22" i="2"/>
  <c r="L22" i="2"/>
  <c r="J22" i="2"/>
  <c r="H22" i="2"/>
  <c r="N21" i="2"/>
  <c r="L21" i="2"/>
  <c r="J21" i="2"/>
  <c r="N20" i="2"/>
  <c r="L20" i="2"/>
  <c r="J20" i="2"/>
  <c r="H20" i="2"/>
  <c r="M19" i="2"/>
  <c r="K19" i="2"/>
  <c r="I19" i="2"/>
  <c r="G19" i="2"/>
  <c r="F19" i="2"/>
  <c r="E19" i="2"/>
  <c r="D19" i="2"/>
  <c r="G12" i="2"/>
  <c r="H10" i="2"/>
  <c r="N9" i="2"/>
  <c r="L9" i="2"/>
  <c r="M8" i="2"/>
  <c r="K8" i="2"/>
  <c r="I8" i="2"/>
  <c r="N7" i="2"/>
  <c r="L7" i="2"/>
  <c r="J7" i="2"/>
  <c r="H7" i="2"/>
  <c r="O8" i="2" l="1"/>
  <c r="O85" i="2"/>
  <c r="O81" i="2"/>
  <c r="O54" i="2"/>
  <c r="N54" i="2"/>
  <c r="J65" i="2"/>
  <c r="O75" i="2"/>
  <c r="O68" i="2"/>
  <c r="O57" i="2"/>
  <c r="H65" i="2"/>
  <c r="O91" i="2"/>
  <c r="L65" i="2"/>
  <c r="L91" i="2"/>
  <c r="J10" i="2"/>
  <c r="O89" i="2"/>
  <c r="O49" i="2"/>
  <c r="D17" i="2"/>
  <c r="H19" i="2"/>
  <c r="H91" i="2"/>
  <c r="H29" i="2"/>
  <c r="J49" i="2"/>
  <c r="J85" i="2"/>
  <c r="J14" i="2"/>
  <c r="H81" i="2"/>
  <c r="O11" i="2"/>
  <c r="N29" i="2"/>
  <c r="E17" i="2"/>
  <c r="J91" i="2"/>
  <c r="N32" i="2"/>
  <c r="H39" i="2"/>
  <c r="H49" i="2"/>
  <c r="L54" i="2"/>
  <c r="N85" i="2"/>
  <c r="N81" i="2"/>
  <c r="N8" i="2"/>
  <c r="M17" i="2"/>
  <c r="M96" i="2" s="1"/>
  <c r="N91" i="2"/>
  <c r="L85" i="2"/>
  <c r="L81" i="2"/>
  <c r="N75" i="2"/>
  <c r="L75" i="2"/>
  <c r="L68" i="2"/>
  <c r="N68" i="2"/>
  <c r="N57" i="2"/>
  <c r="N49" i="2"/>
  <c r="K17" i="2"/>
  <c r="K96" i="2" s="1"/>
  <c r="N39" i="2"/>
  <c r="N19" i="2"/>
  <c r="L8" i="2"/>
  <c r="J8" i="2"/>
  <c r="J75" i="2"/>
  <c r="L57" i="2"/>
  <c r="L49" i="2"/>
  <c r="L39" i="2"/>
  <c r="J39" i="2"/>
  <c r="L32" i="2"/>
  <c r="L29" i="2"/>
  <c r="L19" i="2"/>
  <c r="I17" i="2"/>
  <c r="I96" i="2" s="1"/>
  <c r="H85" i="2"/>
  <c r="J81" i="2"/>
  <c r="H75" i="2"/>
  <c r="H68" i="2"/>
  <c r="J68" i="2"/>
  <c r="H57" i="2"/>
  <c r="J57" i="2"/>
  <c r="J54" i="2"/>
  <c r="H54" i="2"/>
  <c r="O39" i="2"/>
  <c r="J32" i="2"/>
  <c r="H32" i="2"/>
  <c r="O32" i="2"/>
  <c r="G17" i="2"/>
  <c r="G96" i="2" s="1"/>
  <c r="O29" i="2"/>
  <c r="J29" i="2"/>
  <c r="F17" i="2"/>
  <c r="J19" i="2"/>
  <c r="G16" i="2"/>
  <c r="H8" i="2"/>
  <c r="J13" i="2"/>
  <c r="O13" i="2"/>
  <c r="H12" i="2"/>
  <c r="F16" i="2"/>
  <c r="H13" i="2"/>
  <c r="S94" i="1"/>
  <c r="S93" i="1"/>
  <c r="S92" i="1"/>
  <c r="S91" i="1" s="1"/>
  <c r="S90" i="1"/>
  <c r="S89" i="1" s="1"/>
  <c r="S88" i="1"/>
  <c r="S87" i="1"/>
  <c r="S86" i="1"/>
  <c r="S85" i="1"/>
  <c r="S84" i="1"/>
  <c r="S83" i="1"/>
  <c r="S82" i="1"/>
  <c r="S81" i="1" s="1"/>
  <c r="S80" i="1"/>
  <c r="S79" i="1"/>
  <c r="S78" i="1"/>
  <c r="S77" i="1"/>
  <c r="S76" i="1"/>
  <c r="S75" i="1"/>
  <c r="S74" i="1"/>
  <c r="S73" i="1"/>
  <c r="S68" i="1" s="1"/>
  <c r="S72" i="1"/>
  <c r="S71" i="1"/>
  <c r="S70" i="1"/>
  <c r="S69" i="1"/>
  <c r="S67" i="1"/>
  <c r="S66" i="1"/>
  <c r="S65" i="1"/>
  <c r="S64" i="1"/>
  <c r="S63" i="1"/>
  <c r="S62" i="1"/>
  <c r="S61" i="1"/>
  <c r="S60" i="1"/>
  <c r="S59" i="1"/>
  <c r="S58" i="1"/>
  <c r="S57" i="1" s="1"/>
  <c r="S56" i="1"/>
  <c r="S55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 s="1"/>
  <c r="S38" i="1"/>
  <c r="S37" i="1"/>
  <c r="S36" i="1"/>
  <c r="S35" i="1"/>
  <c r="S34" i="1"/>
  <c r="S33" i="1"/>
  <c r="S31" i="1" s="1"/>
  <c r="S30" i="1"/>
  <c r="S28" i="1" s="1"/>
  <c r="S29" i="1"/>
  <c r="S27" i="1"/>
  <c r="S26" i="1"/>
  <c r="S25" i="1"/>
  <c r="S24" i="1"/>
  <c r="S23" i="1"/>
  <c r="S22" i="1"/>
  <c r="S21" i="1"/>
  <c r="S20" i="1"/>
  <c r="S19" i="1" s="1"/>
  <c r="S7" i="1"/>
  <c r="S54" i="1"/>
  <c r="Q85" i="1"/>
  <c r="R47" i="1"/>
  <c r="M57" i="1"/>
  <c r="P47" i="1"/>
  <c r="N47" i="1"/>
  <c r="L47" i="1"/>
  <c r="J47" i="1"/>
  <c r="F89" i="1"/>
  <c r="H47" i="1"/>
  <c r="Q15" i="1"/>
  <c r="S15" i="1" s="1"/>
  <c r="P15" i="1"/>
  <c r="G14" i="1"/>
  <c r="I14" i="1"/>
  <c r="G13" i="1"/>
  <c r="I13" i="1"/>
  <c r="J13" i="1" s="1"/>
  <c r="G11" i="1"/>
  <c r="G16" i="1" s="1"/>
  <c r="I11" i="1"/>
  <c r="K11" i="1" s="1"/>
  <c r="G12" i="1"/>
  <c r="F9" i="1"/>
  <c r="H9" i="1"/>
  <c r="K89" i="1"/>
  <c r="K85" i="1"/>
  <c r="K68" i="1"/>
  <c r="I8" i="1"/>
  <c r="J8" i="1" s="1"/>
  <c r="G31" i="1"/>
  <c r="G10" i="1"/>
  <c r="I10" i="1" s="1"/>
  <c r="F31" i="1"/>
  <c r="G8" i="1"/>
  <c r="R93" i="1"/>
  <c r="R94" i="1"/>
  <c r="R92" i="1"/>
  <c r="R91" i="1"/>
  <c r="R90" i="1"/>
  <c r="R89" i="1" s="1"/>
  <c r="R87" i="1"/>
  <c r="R88" i="1"/>
  <c r="R86" i="1"/>
  <c r="R82" i="1"/>
  <c r="R83" i="1"/>
  <c r="R81" i="1" s="1"/>
  <c r="R84" i="1"/>
  <c r="R77" i="1"/>
  <c r="R78" i="1"/>
  <c r="R79" i="1"/>
  <c r="R80" i="1"/>
  <c r="R76" i="1"/>
  <c r="R75" i="1"/>
  <c r="R70" i="1"/>
  <c r="R71" i="1"/>
  <c r="R72" i="1"/>
  <c r="R73" i="1"/>
  <c r="R74" i="1"/>
  <c r="R69" i="1"/>
  <c r="R68" i="1" s="1"/>
  <c r="R67" i="1"/>
  <c r="R66" i="1"/>
  <c r="R65" i="1" s="1"/>
  <c r="R59" i="1"/>
  <c r="R57" i="1" s="1"/>
  <c r="R60" i="1"/>
  <c r="R61" i="1"/>
  <c r="R62" i="1"/>
  <c r="R63" i="1"/>
  <c r="R64" i="1"/>
  <c r="R58" i="1"/>
  <c r="R56" i="1"/>
  <c r="R55" i="1"/>
  <c r="R54" i="1" s="1"/>
  <c r="R51" i="1"/>
  <c r="R52" i="1"/>
  <c r="R53" i="1"/>
  <c r="R50" i="1"/>
  <c r="R49" i="1" s="1"/>
  <c r="R41" i="1"/>
  <c r="R42" i="1"/>
  <c r="R43" i="1"/>
  <c r="R44" i="1"/>
  <c r="R45" i="1"/>
  <c r="R46" i="1"/>
  <c r="R48" i="1"/>
  <c r="R40" i="1"/>
  <c r="R39" i="1" s="1"/>
  <c r="R34" i="1"/>
  <c r="R35" i="1"/>
  <c r="R36" i="1"/>
  <c r="R37" i="1"/>
  <c r="R38" i="1"/>
  <c r="R33" i="1"/>
  <c r="R30" i="1"/>
  <c r="R28" i="1"/>
  <c r="R29" i="1"/>
  <c r="R21" i="1"/>
  <c r="R22" i="1"/>
  <c r="R23" i="1"/>
  <c r="R24" i="1"/>
  <c r="R25" i="1"/>
  <c r="R26" i="1"/>
  <c r="R19" i="1"/>
  <c r="R27" i="1"/>
  <c r="R20" i="1"/>
  <c r="R7" i="1"/>
  <c r="P93" i="1"/>
  <c r="P94" i="1"/>
  <c r="P92" i="1"/>
  <c r="P91" i="1" s="1"/>
  <c r="P90" i="1"/>
  <c r="P89" i="1" s="1"/>
  <c r="P87" i="1"/>
  <c r="P88" i="1"/>
  <c r="P86" i="1"/>
  <c r="P82" i="1"/>
  <c r="P83" i="1"/>
  <c r="P84" i="1"/>
  <c r="P77" i="1"/>
  <c r="P78" i="1"/>
  <c r="P79" i="1"/>
  <c r="P80" i="1"/>
  <c r="P76" i="1"/>
  <c r="P75" i="1" s="1"/>
  <c r="P70" i="1"/>
  <c r="P71" i="1"/>
  <c r="P68" i="1" s="1"/>
  <c r="P72" i="1"/>
  <c r="P73" i="1"/>
  <c r="P74" i="1"/>
  <c r="P69" i="1"/>
  <c r="P67" i="1"/>
  <c r="P66" i="1"/>
  <c r="P65" i="1"/>
  <c r="P59" i="1"/>
  <c r="P60" i="1"/>
  <c r="P61" i="1"/>
  <c r="P62" i="1"/>
  <c r="P63" i="1"/>
  <c r="P64" i="1"/>
  <c r="P58" i="1"/>
  <c r="P57" i="1" s="1"/>
  <c r="P56" i="1"/>
  <c r="P54" i="1" s="1"/>
  <c r="P55" i="1"/>
  <c r="P51" i="1"/>
  <c r="P52" i="1"/>
  <c r="P53" i="1"/>
  <c r="P50" i="1"/>
  <c r="P49" i="1"/>
  <c r="P41" i="1"/>
  <c r="P39" i="1" s="1"/>
  <c r="P42" i="1"/>
  <c r="P43" i="1"/>
  <c r="P44" i="1"/>
  <c r="P45" i="1"/>
  <c r="P46" i="1"/>
  <c r="P48" i="1"/>
  <c r="P40" i="1"/>
  <c r="P34" i="1"/>
  <c r="P35" i="1"/>
  <c r="P36" i="1"/>
  <c r="P37" i="1"/>
  <c r="P38" i="1"/>
  <c r="P33" i="1"/>
  <c r="P31" i="1" s="1"/>
  <c r="P30" i="1"/>
  <c r="P28" i="1" s="1"/>
  <c r="P29" i="1"/>
  <c r="P21" i="1"/>
  <c r="P22" i="1"/>
  <c r="P23" i="1"/>
  <c r="P24" i="1"/>
  <c r="P25" i="1"/>
  <c r="P26" i="1"/>
  <c r="P27" i="1"/>
  <c r="P20" i="1"/>
  <c r="P19" i="1" s="1"/>
  <c r="P7" i="1"/>
  <c r="N93" i="1"/>
  <c r="N94" i="1"/>
  <c r="N92" i="1"/>
  <c r="N91" i="1" s="1"/>
  <c r="N90" i="1"/>
  <c r="N89" i="1" s="1"/>
  <c r="N87" i="1"/>
  <c r="N88" i="1"/>
  <c r="N86" i="1"/>
  <c r="N82" i="1"/>
  <c r="N83" i="1"/>
  <c r="N81" i="1" s="1"/>
  <c r="N84" i="1"/>
  <c r="N77" i="1"/>
  <c r="N78" i="1"/>
  <c r="N79" i="1"/>
  <c r="N80" i="1"/>
  <c r="N76" i="1"/>
  <c r="N75" i="1" s="1"/>
  <c r="N70" i="1"/>
  <c r="N71" i="1"/>
  <c r="N72" i="1"/>
  <c r="N73" i="1"/>
  <c r="N74" i="1"/>
  <c r="N69" i="1"/>
  <c r="N68" i="1" s="1"/>
  <c r="N67" i="1"/>
  <c r="N66" i="1"/>
  <c r="N65" i="1"/>
  <c r="N59" i="1"/>
  <c r="N60" i="1"/>
  <c r="N61" i="1"/>
  <c r="N62" i="1"/>
  <c r="N63" i="1"/>
  <c r="N64" i="1"/>
  <c r="N58" i="1"/>
  <c r="N57" i="1" s="1"/>
  <c r="N56" i="1"/>
  <c r="N55" i="1"/>
  <c r="N54" i="1" s="1"/>
  <c r="N51" i="1"/>
  <c r="N52" i="1"/>
  <c r="N53" i="1"/>
  <c r="N50" i="1"/>
  <c r="N49" i="1" s="1"/>
  <c r="N41" i="1"/>
  <c r="N42" i="1"/>
  <c r="N43" i="1"/>
  <c r="N44" i="1"/>
  <c r="N45" i="1"/>
  <c r="N46" i="1"/>
  <c r="N48" i="1"/>
  <c r="N40" i="1"/>
  <c r="N39" i="1" s="1"/>
  <c r="N34" i="1"/>
  <c r="N35" i="1"/>
  <c r="N36" i="1"/>
  <c r="N37" i="1"/>
  <c r="N38" i="1"/>
  <c r="N33" i="1"/>
  <c r="N31" i="1" s="1"/>
  <c r="N30" i="1"/>
  <c r="N29" i="1"/>
  <c r="N21" i="1"/>
  <c r="N22" i="1"/>
  <c r="N23" i="1"/>
  <c r="N24" i="1"/>
  <c r="N25" i="1"/>
  <c r="N26" i="1"/>
  <c r="N27" i="1"/>
  <c r="N20" i="1"/>
  <c r="N19" i="1" s="1"/>
  <c r="N7" i="1"/>
  <c r="L93" i="1"/>
  <c r="L94" i="1"/>
  <c r="L92" i="1"/>
  <c r="L91" i="1"/>
  <c r="L90" i="1"/>
  <c r="L89" i="1" s="1"/>
  <c r="L87" i="1"/>
  <c r="L88" i="1"/>
  <c r="L86" i="1"/>
  <c r="L82" i="1"/>
  <c r="L81" i="1" s="1"/>
  <c r="L83" i="1"/>
  <c r="L84" i="1"/>
  <c r="L77" i="1"/>
  <c r="L78" i="1"/>
  <c r="L79" i="1"/>
  <c r="L80" i="1"/>
  <c r="L76" i="1"/>
  <c r="L75" i="1" s="1"/>
  <c r="L70" i="1"/>
  <c r="L71" i="1"/>
  <c r="L72" i="1"/>
  <c r="L73" i="1"/>
  <c r="L74" i="1"/>
  <c r="L69" i="1"/>
  <c r="L68" i="1" s="1"/>
  <c r="L67" i="1"/>
  <c r="L66" i="1"/>
  <c r="L65" i="1" s="1"/>
  <c r="L59" i="1"/>
  <c r="L60" i="1"/>
  <c r="L61" i="1"/>
  <c r="L62" i="1"/>
  <c r="L63" i="1"/>
  <c r="L64" i="1"/>
  <c r="L58" i="1"/>
  <c r="L57" i="1"/>
  <c r="L56" i="1"/>
  <c r="L54" i="1"/>
  <c r="L55" i="1"/>
  <c r="L51" i="1"/>
  <c r="L52" i="1"/>
  <c r="L53" i="1"/>
  <c r="L50" i="1"/>
  <c r="L49" i="1" s="1"/>
  <c r="L41" i="1"/>
  <c r="L42" i="1"/>
  <c r="L43" i="1"/>
  <c r="L44" i="1"/>
  <c r="L45" i="1"/>
  <c r="L46" i="1"/>
  <c r="L48" i="1"/>
  <c r="L40" i="1"/>
  <c r="L39" i="1" s="1"/>
  <c r="L34" i="1"/>
  <c r="L35" i="1"/>
  <c r="L36" i="1"/>
  <c r="L37" i="1"/>
  <c r="L38" i="1"/>
  <c r="L33" i="1"/>
  <c r="L31" i="1"/>
  <c r="L30" i="1"/>
  <c r="L28" i="1" s="1"/>
  <c r="L29" i="1"/>
  <c r="L21" i="1"/>
  <c r="L22" i="1"/>
  <c r="L23" i="1"/>
  <c r="L24" i="1"/>
  <c r="L25" i="1"/>
  <c r="L19" i="1" s="1"/>
  <c r="L17" i="1" s="1"/>
  <c r="L26" i="1"/>
  <c r="L27" i="1"/>
  <c r="L20" i="1"/>
  <c r="L7" i="1"/>
  <c r="J93" i="1"/>
  <c r="J94" i="1"/>
  <c r="J92" i="1"/>
  <c r="J91" i="1" s="1"/>
  <c r="J90" i="1"/>
  <c r="J89" i="1"/>
  <c r="J87" i="1"/>
  <c r="J85" i="1"/>
  <c r="J88" i="1"/>
  <c r="J86" i="1"/>
  <c r="J82" i="1"/>
  <c r="J83" i="1"/>
  <c r="J84" i="1"/>
  <c r="J77" i="1"/>
  <c r="J78" i="1"/>
  <c r="J79" i="1"/>
  <c r="J80" i="1"/>
  <c r="J76" i="1"/>
  <c r="J75" i="1" s="1"/>
  <c r="J70" i="1"/>
  <c r="J71" i="1"/>
  <c r="J68" i="1" s="1"/>
  <c r="J72" i="1"/>
  <c r="J73" i="1"/>
  <c r="J74" i="1"/>
  <c r="J69" i="1"/>
  <c r="J67" i="1"/>
  <c r="J66" i="1"/>
  <c r="J65" i="1"/>
  <c r="J59" i="1"/>
  <c r="J60" i="1"/>
  <c r="J61" i="1"/>
  <c r="J62" i="1"/>
  <c r="J63" i="1"/>
  <c r="J64" i="1"/>
  <c r="J58" i="1"/>
  <c r="J57" i="1" s="1"/>
  <c r="J56" i="1"/>
  <c r="J54" i="1" s="1"/>
  <c r="J55" i="1"/>
  <c r="J51" i="1"/>
  <c r="J52" i="1"/>
  <c r="J53" i="1"/>
  <c r="J50" i="1"/>
  <c r="J49" i="1"/>
  <c r="J41" i="1"/>
  <c r="J39" i="1" s="1"/>
  <c r="J42" i="1"/>
  <c r="J43" i="1"/>
  <c r="J44" i="1"/>
  <c r="J45" i="1"/>
  <c r="J46" i="1"/>
  <c r="J48" i="1"/>
  <c r="J40" i="1"/>
  <c r="J38" i="1"/>
  <c r="J31" i="1" s="1"/>
  <c r="J34" i="1"/>
  <c r="J35" i="1"/>
  <c r="J36" i="1"/>
  <c r="J37" i="1"/>
  <c r="J33" i="1"/>
  <c r="J29" i="1"/>
  <c r="J28" i="1"/>
  <c r="J21" i="1"/>
  <c r="J19" i="1" s="1"/>
  <c r="J22" i="1"/>
  <c r="J23" i="1"/>
  <c r="J24" i="1"/>
  <c r="J25" i="1"/>
  <c r="J26" i="1"/>
  <c r="J27" i="1"/>
  <c r="J20" i="1"/>
  <c r="I19" i="1"/>
  <c r="J30" i="1"/>
  <c r="J7" i="1"/>
  <c r="H93" i="1"/>
  <c r="H94" i="1"/>
  <c r="H92" i="1"/>
  <c r="H91" i="1"/>
  <c r="H90" i="1"/>
  <c r="H89" i="1"/>
  <c r="H87" i="1"/>
  <c r="H88" i="1"/>
  <c r="H86" i="1"/>
  <c r="H82" i="1"/>
  <c r="H83" i="1"/>
  <c r="H81" i="1"/>
  <c r="H84" i="1"/>
  <c r="H77" i="1"/>
  <c r="H78" i="1"/>
  <c r="H79" i="1"/>
  <c r="H80" i="1"/>
  <c r="H76" i="1"/>
  <c r="H75" i="1" s="1"/>
  <c r="H70" i="1"/>
  <c r="H68" i="1" s="1"/>
  <c r="H71" i="1"/>
  <c r="H72" i="1"/>
  <c r="H73" i="1"/>
  <c r="H74" i="1"/>
  <c r="H69" i="1"/>
  <c r="H67" i="1"/>
  <c r="H66" i="1"/>
  <c r="H65" i="1" s="1"/>
  <c r="H59" i="1"/>
  <c r="H60" i="1"/>
  <c r="H61" i="1"/>
  <c r="H62" i="1"/>
  <c r="H63" i="1"/>
  <c r="H64" i="1"/>
  <c r="H58" i="1"/>
  <c r="H57" i="1" s="1"/>
  <c r="H56" i="1"/>
  <c r="H55" i="1"/>
  <c r="H51" i="1"/>
  <c r="H52" i="1"/>
  <c r="H53" i="1"/>
  <c r="H50" i="1"/>
  <c r="H49" i="1"/>
  <c r="H41" i="1"/>
  <c r="H42" i="1"/>
  <c r="H43" i="1"/>
  <c r="H44" i="1"/>
  <c r="H45" i="1"/>
  <c r="H46" i="1"/>
  <c r="H48" i="1"/>
  <c r="H40" i="1"/>
  <c r="H39" i="1" s="1"/>
  <c r="H34" i="1"/>
  <c r="H35" i="1"/>
  <c r="H36" i="1"/>
  <c r="H37" i="1"/>
  <c r="H38" i="1"/>
  <c r="H33" i="1"/>
  <c r="H31" i="1"/>
  <c r="H30" i="1"/>
  <c r="H28" i="1" s="1"/>
  <c r="H29" i="1"/>
  <c r="H21" i="1"/>
  <c r="H22" i="1"/>
  <c r="H23" i="1"/>
  <c r="H24" i="1"/>
  <c r="H25" i="1"/>
  <c r="H19" i="1" s="1"/>
  <c r="H26" i="1"/>
  <c r="H27" i="1"/>
  <c r="H20" i="1"/>
  <c r="H10" i="1"/>
  <c r="H12" i="1"/>
  <c r="H7" i="1"/>
  <c r="Q31" i="1"/>
  <c r="Q8" i="1"/>
  <c r="Q91" i="1"/>
  <c r="Q89" i="1"/>
  <c r="Q81" i="1"/>
  <c r="Q75" i="1"/>
  <c r="Q68" i="1"/>
  <c r="Q65" i="1"/>
  <c r="Q57" i="1"/>
  <c r="Q54" i="1"/>
  <c r="Q49" i="1"/>
  <c r="Q39" i="1"/>
  <c r="Q28" i="1"/>
  <c r="Q19" i="1"/>
  <c r="Q17" i="1" s="1"/>
  <c r="O57" i="1"/>
  <c r="F19" i="1"/>
  <c r="F17" i="1" s="1"/>
  <c r="F96" i="1" s="1"/>
  <c r="F28" i="1"/>
  <c r="F39" i="1"/>
  <c r="F49" i="1"/>
  <c r="F54" i="1"/>
  <c r="F57" i="1"/>
  <c r="F65" i="1"/>
  <c r="F68" i="1"/>
  <c r="F75" i="1"/>
  <c r="F81" i="1"/>
  <c r="F85" i="1"/>
  <c r="F91" i="1"/>
  <c r="I28" i="1"/>
  <c r="I17" i="1" s="1"/>
  <c r="M89" i="1"/>
  <c r="G89" i="1"/>
  <c r="K31" i="1"/>
  <c r="I65" i="1"/>
  <c r="O91" i="1"/>
  <c r="M91" i="1"/>
  <c r="K91" i="1"/>
  <c r="I91" i="1"/>
  <c r="G91" i="1"/>
  <c r="E91" i="1"/>
  <c r="D91" i="1"/>
  <c r="O89" i="1"/>
  <c r="I89" i="1"/>
  <c r="E89" i="1"/>
  <c r="D89" i="1"/>
  <c r="O85" i="1"/>
  <c r="M85" i="1"/>
  <c r="I85" i="1"/>
  <c r="G85" i="1"/>
  <c r="E85" i="1"/>
  <c r="D85" i="1"/>
  <c r="O81" i="1"/>
  <c r="M81" i="1"/>
  <c r="K81" i="1"/>
  <c r="I81" i="1"/>
  <c r="G81" i="1"/>
  <c r="D81" i="1"/>
  <c r="O75" i="1"/>
  <c r="M75" i="1"/>
  <c r="K75" i="1"/>
  <c r="I75" i="1"/>
  <c r="G75" i="1"/>
  <c r="E75" i="1"/>
  <c r="D75" i="1"/>
  <c r="O68" i="1"/>
  <c r="M68" i="1"/>
  <c r="I68" i="1"/>
  <c r="G68" i="1"/>
  <c r="E68" i="1"/>
  <c r="D68" i="1"/>
  <c r="O65" i="1"/>
  <c r="M65" i="1"/>
  <c r="K65" i="1"/>
  <c r="G65" i="1"/>
  <c r="E65" i="1"/>
  <c r="D65" i="1"/>
  <c r="K57" i="1"/>
  <c r="I57" i="1"/>
  <c r="G57" i="1"/>
  <c r="E57" i="1"/>
  <c r="D57" i="1"/>
  <c r="O54" i="1"/>
  <c r="M54" i="1"/>
  <c r="K54" i="1"/>
  <c r="I54" i="1"/>
  <c r="G54" i="1"/>
  <c r="E54" i="1"/>
  <c r="D54" i="1"/>
  <c r="O49" i="1"/>
  <c r="M49" i="1"/>
  <c r="M17" i="1" s="1"/>
  <c r="M96" i="1" s="1"/>
  <c r="N96" i="1" s="1"/>
  <c r="K49" i="1"/>
  <c r="I49" i="1"/>
  <c r="G49" i="1"/>
  <c r="E49" i="1"/>
  <c r="D49" i="1"/>
  <c r="O39" i="1"/>
  <c r="O17" i="1" s="1"/>
  <c r="O96" i="1" s="1"/>
  <c r="M39" i="1"/>
  <c r="K39" i="1"/>
  <c r="I39" i="1"/>
  <c r="G39" i="1"/>
  <c r="E39" i="1"/>
  <c r="D39" i="1"/>
  <c r="O31" i="1"/>
  <c r="M31" i="1"/>
  <c r="I31" i="1"/>
  <c r="E31" i="1"/>
  <c r="D31" i="1"/>
  <c r="O28" i="1"/>
  <c r="M28" i="1"/>
  <c r="K28" i="1"/>
  <c r="G28" i="1"/>
  <c r="D28" i="1"/>
  <c r="O19" i="1"/>
  <c r="M19" i="1"/>
  <c r="K19" i="1"/>
  <c r="K17" i="1" s="1"/>
  <c r="K96" i="1" s="1"/>
  <c r="G19" i="1"/>
  <c r="G17" i="1" s="1"/>
  <c r="E19" i="1"/>
  <c r="E17" i="1" s="1"/>
  <c r="D19" i="1"/>
  <c r="D17" i="1" s="1"/>
  <c r="J9" i="1"/>
  <c r="K8" i="1"/>
  <c r="L8" i="1"/>
  <c r="L9" i="1"/>
  <c r="N9" i="1"/>
  <c r="M8" i="1"/>
  <c r="N8" i="1" s="1"/>
  <c r="O8" i="1"/>
  <c r="P8" i="1" s="1"/>
  <c r="P9" i="1"/>
  <c r="R9" i="1"/>
  <c r="I12" i="1"/>
  <c r="K12" i="1" s="1"/>
  <c r="R85" i="1"/>
  <c r="H54" i="1"/>
  <c r="H85" i="1"/>
  <c r="H13" i="1"/>
  <c r="H14" i="1"/>
  <c r="P85" i="1"/>
  <c r="P81" i="1"/>
  <c r="R31" i="1"/>
  <c r="N28" i="1"/>
  <c r="N85" i="1"/>
  <c r="L85" i="1"/>
  <c r="J81" i="1"/>
  <c r="J11" i="1"/>
  <c r="J14" i="1"/>
  <c r="K14" i="1"/>
  <c r="S9" i="1"/>
  <c r="R8" i="1"/>
  <c r="F16" i="1"/>
  <c r="F8" i="1"/>
  <c r="H8" i="1" s="1"/>
  <c r="S8" i="1"/>
  <c r="L14" i="1"/>
  <c r="M14" i="1"/>
  <c r="O14" i="1"/>
  <c r="N14" i="1"/>
  <c r="P14" i="1"/>
  <c r="Q14" i="1"/>
  <c r="R14" i="1"/>
  <c r="S14" i="1"/>
  <c r="L11" i="2" l="1"/>
  <c r="M10" i="2"/>
  <c r="O10" i="2" s="1"/>
  <c r="J11" i="2"/>
  <c r="I16" i="2"/>
  <c r="F96" i="2"/>
  <c r="H96" i="2" s="1"/>
  <c r="N96" i="2"/>
  <c r="N17" i="2"/>
  <c r="L17" i="2"/>
  <c r="J17" i="2"/>
  <c r="H17" i="2"/>
  <c r="O14" i="2"/>
  <c r="H16" i="2"/>
  <c r="J96" i="2"/>
  <c r="L13" i="2"/>
  <c r="L96" i="2"/>
  <c r="K12" i="2"/>
  <c r="J12" i="2"/>
  <c r="N11" i="2"/>
  <c r="G96" i="1"/>
  <c r="H96" i="1" s="1"/>
  <c r="H17" i="1"/>
  <c r="P17" i="1"/>
  <c r="R17" i="1"/>
  <c r="I16" i="1"/>
  <c r="K10" i="1"/>
  <c r="J10" i="1"/>
  <c r="J16" i="1" s="1"/>
  <c r="N17" i="1"/>
  <c r="L11" i="1"/>
  <c r="M11" i="1"/>
  <c r="P96" i="1"/>
  <c r="S17" i="1"/>
  <c r="S96" i="1" s="1"/>
  <c r="Q96" i="1"/>
  <c r="R96" i="1" s="1"/>
  <c r="M12" i="1"/>
  <c r="L12" i="1"/>
  <c r="I96" i="1"/>
  <c r="J96" i="1" s="1"/>
  <c r="J17" i="1"/>
  <c r="K13" i="1"/>
  <c r="H11" i="1"/>
  <c r="H16" i="1" s="1"/>
  <c r="J12" i="1"/>
  <c r="R15" i="1"/>
  <c r="J16" i="2" l="1"/>
  <c r="K16" i="2"/>
  <c r="O12" i="2"/>
  <c r="L14" i="2"/>
  <c r="N13" i="2"/>
  <c r="N10" i="2"/>
  <c r="L12" i="2"/>
  <c r="M16" i="2"/>
  <c r="N14" i="2"/>
  <c r="N11" i="1"/>
  <c r="O11" i="1"/>
  <c r="L96" i="1"/>
  <c r="M10" i="1"/>
  <c r="K16" i="1"/>
  <c r="L10" i="1"/>
  <c r="M13" i="1"/>
  <c r="L13" i="1"/>
  <c r="O12" i="1"/>
  <c r="N12" i="1"/>
  <c r="L16" i="2" l="1"/>
  <c r="N12" i="2"/>
  <c r="N16" i="2" s="1"/>
  <c r="L16" i="1"/>
  <c r="O13" i="1"/>
  <c r="N13" i="1"/>
  <c r="M16" i="1"/>
  <c r="O10" i="1"/>
  <c r="N10" i="1"/>
  <c r="N16" i="1" s="1"/>
  <c r="P11" i="1"/>
  <c r="Q11" i="1"/>
  <c r="P12" i="1"/>
  <c r="Q12" i="1"/>
  <c r="R11" i="1" l="1"/>
  <c r="S11" i="1"/>
  <c r="Q10" i="1"/>
  <c r="O16" i="1"/>
  <c r="P10" i="1"/>
  <c r="P16" i="1" s="1"/>
  <c r="P13" i="1"/>
  <c r="Q13" i="1"/>
  <c r="R12" i="1"/>
  <c r="S12" i="1"/>
  <c r="O16" i="2" l="1"/>
  <c r="R10" i="1"/>
  <c r="S10" i="1"/>
  <c r="Q16" i="1"/>
  <c r="S13" i="1"/>
  <c r="R13" i="1"/>
  <c r="S16" i="1" l="1"/>
  <c r="R16" i="1"/>
</calcChain>
</file>

<file path=xl/sharedStrings.xml><?xml version="1.0" encoding="utf-8"?>
<sst xmlns="http://schemas.openxmlformats.org/spreadsheetml/2006/main" count="516" uniqueCount="132">
  <si>
    <t xml:space="preserve">Наименование </t>
  </si>
  <si>
    <t>Раздел</t>
  </si>
  <si>
    <t>Подраздел</t>
  </si>
  <si>
    <t xml:space="preserve">Закон </t>
  </si>
  <si>
    <t>изменения</t>
  </si>
  <si>
    <t>отклонения от предыдущего варианта</t>
  </si>
  <si>
    <t>Всего расходов</t>
  </si>
  <si>
    <t>ОБЩЕГОСУДАРСТВЕННЫЕ ВОПРОСЫ</t>
  </si>
  <si>
    <t>01</t>
  </si>
  <si>
    <t/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</si>
  <si>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</si>
  <si>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</si>
  <si>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</si>
  <si>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</si>
  <si>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</si>
  <si>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</si>
  <si>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</si>
  <si>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</si>
  <si>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</si>
  <si>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</si>
  <si>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</si>
  <si>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</si>
  <si>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</si>
  <si>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</si>
  <si>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</si>
  <si>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</si>
  <si>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</si>
  <si>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</si>
  <si>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</si>
  <si>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</si>
  <si>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</si>
  <si>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</si>
  <si>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</si>
  <si>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</si>
  <si>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</si>
  <si>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</si>
  <si>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</si>
  <si>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</si>
  <si>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</si>
  <si>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</si>
  <si>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</si>
  <si>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</si>
  <si>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</si>
  <si>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</si>
  <si>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</si>
  <si>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</si>
  <si>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</si>
  <si>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</si>
  <si>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</si>
  <si>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</si>
  <si>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</si>
  <si>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</si>
  <si>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</si>
  <si>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</si>
  <si>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</si>
  <si>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</si>
  <si>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</si>
  <si>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</si>
  <si>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</si>
  <si>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</si>
  <si>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</si>
  <si>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</si>
  <si>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</si>
  <si>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</si>
  <si>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</si>
  <si>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</si>
  <si>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</si>
  <si>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</si>
  <si>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</si>
  <si>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</si>
  <si>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</si>
  <si>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</si>
  <si>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</si>
  <si>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</si>
  <si>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</si>
  <si>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</si>
  <si>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</si>
  <si>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</si>
  <si>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</si>
  <si>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</si>
  <si>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</si>
  <si>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</si>
  <si>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</si>
  <si>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</si>
  <si>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</si>
  <si>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</si>
  <si>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</si>
  <si>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</si>
  <si>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</si>
  <si>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</si>
  <si>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Функционирование высшего должностного лица субъекта Российской Федерации и муниципального образования</t>
  </si>
  <si>
    <t>Водное хозяйство</t>
  </si>
  <si>
    <t>Сбор, удаление отходов и очистка сточных вод</t>
  </si>
  <si>
    <t>КУЛЬТУРА,  КИНЕМАТОГРАФИЯ</t>
  </si>
  <si>
    <t>МЕЖБЮДЖЕТНЫЕ ТРАНСФЕРТЫ ОБЩЕГО ХАРАКТЕРА БЮДЖЕТАМ БЮДЖЕТНОЙ СИСТЕМЫ РОССИЙСКОЙ ФЕДЕРАЦИИ</t>
  </si>
  <si>
    <t>Дополнительное образование детей</t>
  </si>
  <si>
    <t>Всего доходов</t>
  </si>
  <si>
    <t>Налоговые и неналоговые доходы</t>
  </si>
  <si>
    <t>Безвозмездные поступления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</si>
  <si>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</si>
  <si>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</si>
  <si>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</si>
  <si>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</si>
  <si>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организаций в бюджеты субъектов Российской Федерации</t>
  </si>
  <si>
    <t>Уточнения областного бюджета в 2022 году</t>
  </si>
  <si>
    <t>Закон Липецкой области от 13.12.2021 г. №28-ОЗ "Об областном бюджете на 2022 год и на плановый период 2023 и 2024 годов"</t>
  </si>
  <si>
    <t xml:space="preserve">Утвержденный бюджет (Закон Липецкой области от 13.12.2021 г. №28-ОЗ "Об областном бюджете на 2022 год на плановый период 2023 и 2024 годов" </t>
  </si>
  <si>
    <t xml:space="preserve">Закон Липецкой области от 18.02.2022 г.  №63-ОЗ 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</si>
  <si>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15.04.2022 г. №83-ОЗ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</si>
  <si>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27.06.2022 г. №120-ОЗ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</si>
  <si>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29.07.2022 г. №131-ОЗ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</si>
  <si>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23.09.2022 №166-ОЗ "О внесении изменений в Закон Липецкой области "Об областном бюджете на 2022 год и на плановый период 2023 и 2024 годов"   </t>
  </si>
  <si>
    <t>Безвозмездные поступления от негосударственных  организаций в бюджеты субъектов Российской Федерации</t>
  </si>
  <si>
    <t xml:space="preserve">Закон Липецкой области от 7.12.2022 №226-ОЗ "О внесении изменений в Закон Липецкой области "Об областном бюджете на 2022 год и на плановый период 2023 и 2024 годов"   </t>
  </si>
  <si>
    <t>Связь и информатика</t>
  </si>
  <si>
    <t>(руб.)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</si>
  <si>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20022 году</t>
    </r>
  </si>
  <si>
    <t>Уточнения областного бюджета в 2023 году</t>
  </si>
  <si>
    <t>Закон Липецкой области от 07.12.2022 г. № 243-ОЗ "Об областном бюджете на 2023 год и на плановый период 2024 и 2025 годов"</t>
  </si>
  <si>
    <t xml:space="preserve">Утвержденный бюджет (Закон Липецкой области от 07.12.2022 г. № 243-ОЗ "Об областном бюджете на 2023 год и на плановый период 2024 и 2025 годов") </t>
  </si>
  <si>
    <t>Закон Липецкой области от 07.03.2023 г. № 287-ОЗ "О внесении изменений в Закон Липецкой области "Об областном бюджете на 2023 год и на плановый период 2024 и 2025 годов"</t>
  </si>
  <si>
    <t>Закон Липецкой области от 29.05.2023 г. № 333-ОЗ "О внесении изменений в Закон Липецкой области "Об областном бюджете на 2023 год и на плановый период 2024 и 2025 годов"</t>
  </si>
  <si>
    <t xml:space="preserve">Закон Липецкой области от 14.07.2023 г. № 355-ОЗ "О внесении изменений в Закон Липецкой области "Об областном бюджете на 2023 год и на плановый период 2024 и 2025 годов"   </t>
  </si>
  <si>
    <t xml:space="preserve">
Закон Липецкой области от 31.10.2023 г. № 398-ОЗ "О внесении изменений в Закон Липецкой области "Об областном бюджете на 2023 год и на плановый период 2024 и 2025 годов"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</si>
  <si>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</si>
  <si>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Международные отношения и международное сотрудничество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</si>
  <si>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2023 году</t>
    </r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</si>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</sst>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/>
    <xf numFmtId="166" fontId="9" fillId="0" borderId="1" xfId="1" applyNumberFormat="1" applyFont="1" applyBorder="1"/>
    <xf numFmtId="166" fontId="9" fillId="0" borderId="1" xfId="1" applyNumberFormat="1" applyFont="1" applyBorder="1" applyAlignment="1">
      <alignment vertical="center" wrapText="1"/>
    </xf>
    <xf numFmtId="166" fontId="9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9" fillId="0" borderId="1" xfId="1" applyNumberFormat="1" applyFont="1" applyBorder="1" applyAlignment="1">
      <alignment wrapText="1"/>
    </xf>
    <xf numFmtId="166" fontId="9" fillId="0" borderId="1" xfId="1" quotePrefix="1" applyNumberFormat="1" applyFont="1" applyBorder="1" applyAlignment="1">
      <alignment wrapText="1"/>
    </xf>
    <xf numFmtId="166" fontId="8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 wrapText="1"/>
    </xf>
    <xf numFmtId="167" fontId="3" fillId="0" borderId="0" xfId="0" applyNumberFormat="1" applyFont="1"/>
    <xf numFmtId="0" fontId="9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5" fontId="3" fillId="0" borderId="0" xfId="0" applyNumberFormat="1" applyFont="1"/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vertical="top" wrapText="1"/>
    </xf>
    <xf numFmtId="166" fontId="9" fillId="0" borderId="1" xfId="1" applyNumberFormat="1" applyFont="1" applyBorder="1" applyAlignment="1">
      <alignment vertical="top"/>
    </xf>
    <xf numFmtId="165" fontId="9" fillId="0" borderId="1" xfId="1" applyNumberFormat="1" applyFont="1" applyBorder="1" applyAlignment="1">
      <alignment vertical="top" wrapText="1"/>
    </xf>
    <xf numFmtId="165" fontId="9" fillId="2" borderId="1" xfId="1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vertical="top" wrapText="1"/>
    </xf>
    <xf numFmtId="167" fontId="3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165" fontId="8" fillId="0" borderId="1" xfId="1" applyNumberFormat="1" applyFont="1" applyBorder="1" applyAlignment="1">
      <alignment vertical="top"/>
    </xf>
    <xf numFmtId="165" fontId="8" fillId="2" borderId="1" xfId="1" applyNumberFormat="1" applyFont="1" applyFill="1" applyBorder="1" applyAlignment="1">
      <alignment vertical="top"/>
    </xf>
    <xf numFmtId="165" fontId="9" fillId="0" borderId="1" xfId="1" applyNumberFormat="1" applyFont="1" applyBorder="1" applyAlignment="1">
      <alignment vertical="top"/>
    </xf>
    <xf numFmtId="165" fontId="9" fillId="0" borderId="1" xfId="1" quotePrefix="1" applyNumberFormat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/>
    </xf>
    <xf numFmtId="165" fontId="9" fillId="0" borderId="1" xfId="1" applyNumberFormat="1" applyFont="1" applyFill="1" applyBorder="1" applyAlignment="1">
      <alignment vertical="top"/>
    </xf>
    <xf numFmtId="165" fontId="9" fillId="0" borderId="1" xfId="1" quotePrefix="1" applyNumberFormat="1" applyFont="1" applyFill="1" applyBorder="1" applyAlignment="1">
      <alignment vertical="top" wrapText="1"/>
    </xf>
    <xf numFmtId="165" fontId="8" fillId="3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165" fontId="6" fillId="0" borderId="1" xfId="1" applyFont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top" wrapText="1"/>
    </xf>
    <xf numFmtId="165" fontId="9" fillId="2" borderId="1" xfId="1" applyNumberFormat="1" applyFont="1" applyFill="1" applyBorder="1" applyAlignment="1">
      <alignment horizontal="right" vertical="top" wrapText="1" shrinkToFit="1"/>
    </xf>
    <xf numFmtId="0" fontId="9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10" fillId="0" borderId="0" xfId="0" applyFont="1"/>
    <xf numFmtId="167" fontId="5" fillId="0" borderId="0" xfId="0" applyNumberFormat="1" applyFont="1"/>
    <xf numFmtId="165" fontId="11" fillId="2" borderId="1" xfId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13" fillId="0" borderId="1" xfId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164" fontId="14" fillId="0" borderId="0" xfId="0" applyNumberFormat="1" applyFont="1"/>
    <xf numFmtId="0" fontId="12" fillId="0" borderId="0" xfId="0" applyFont="1" applyAlignment="1">
      <alignment horizontal="center"/>
    </xf>
    <xf numFmtId="165" fontId="8" fillId="2" borderId="1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/>
    </xf>
    <xf numFmtId="0" fontId="9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horizontal="right" vertical="center" wrapText="1" indent="1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2" fillId="3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11"/>
  <sheetViews>
    <sheetView zoomScale="75" zoomScaleNormal="75" workbookViewId="0">
      <pane xSplit="1" ySplit="6" topLeftCell="B8" activePane="bottomRight" state="frozen"/>
      <selection pane="topRight" activeCell="B1" sqref="B1"/>
      <selection pane="bottomLeft" activeCell="A7" sqref="A7"/>
      <selection pane="bottomRight" activeCell="G20" sqref="G20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4.28515625" style="1" customWidth="1"/>
    <col min="4" max="5" width="17.5703125" style="1" hidden="1" customWidth="1"/>
    <col min="6" max="6" width="22.85546875" style="1" customWidth="1"/>
    <col min="7" max="7" width="23.42578125" style="1" customWidth="1"/>
    <col min="8" max="8" width="22.140625" style="1" customWidth="1"/>
    <col min="9" max="9" width="24.28515625" style="1" customWidth="1"/>
    <col min="10" max="10" width="22.5703125" style="1" customWidth="1"/>
    <col min="11" max="11" width="25.5703125" style="1" customWidth="1"/>
    <col min="12" max="12" width="20.28515625" style="1" customWidth="1"/>
    <col min="13" max="13" width="25.28515625" style="1" customWidth="1"/>
    <col min="14" max="14" width="22" style="1" customWidth="1"/>
    <col min="15" max="15" width="24.7109375" style="1" customWidth="1"/>
    <col min="16" max="16" width="19.85546875" style="1" customWidth="1"/>
    <col min="17" max="17" width="24.85546875" style="1" customWidth="1"/>
    <col min="18" max="18" width="21" style="1" customWidth="1"/>
    <col min="19" max="19" width="23" style="1" customWidth="1"/>
    <col min="20" max="20" width="18.7109375" style="1" bestFit="1" customWidth="1"/>
    <col min="21" max="16384" width="9.140625" style="1"/>
  </cols>
  <sheetData>
    <row r="2" spans="1:20" ht="20.25" x14ac:dyDescent="0.3">
      <c r="A2" s="83" t="s">
        <v>104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0" ht="30.75" customHeight="1" x14ac:dyDescent="0.3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0" ht="15.75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20" ht="18.75" x14ac:dyDescent="0.3">
      <c r="H5" s="18"/>
      <c r="J5" s="18"/>
      <c r="L5" s="18"/>
      <c r="M5" s="72"/>
      <c r="N5" s="18"/>
      <c r="Q5" s="72" t="s">
        <v>115</v>
      </c>
    </row>
    <row r="6" spans="1:20" ht="133.5" customHeight="1" x14ac:dyDescent="0.2">
      <c r="A6" s="2" t="s">
        <v>0</v>
      </c>
      <c r="B6" s="85"/>
      <c r="C6" s="86"/>
      <c r="D6" s="2" t="s">
        <v>3</v>
      </c>
      <c r="E6" s="2" t="s">
        <v>4</v>
      </c>
      <c r="F6" s="56" t="s">
        <v>106</v>
      </c>
      <c r="G6" s="56" t="s">
        <v>107</v>
      </c>
      <c r="H6" s="3" t="s">
        <v>5</v>
      </c>
      <c r="I6" s="56" t="s">
        <v>108</v>
      </c>
      <c r="J6" s="3" t="s">
        <v>5</v>
      </c>
      <c r="K6" s="56" t="s">
        <v>109</v>
      </c>
      <c r="L6" s="3" t="s">
        <v>5</v>
      </c>
      <c r="M6" s="56" t="s">
        <v>110</v>
      </c>
      <c r="N6" s="3" t="s">
        <v>5</v>
      </c>
      <c r="O6" s="56" t="s">
        <v>111</v>
      </c>
      <c r="P6" s="3" t="s">
        <v>5</v>
      </c>
      <c r="Q6" s="56" t="s">
        <v>113</v>
      </c>
      <c r="R6" s="3" t="s">
        <v>5</v>
      </c>
      <c r="S6" s="3" t="s">
        <v>116</v>
      </c>
    </row>
    <row r="7" spans="1:20" ht="22.15" customHeight="1" x14ac:dyDescent="0.2">
      <c r="A7" s="27" t="s">
        <v>96</v>
      </c>
      <c r="B7" s="85"/>
      <c r="C7" s="86"/>
      <c r="D7" s="2"/>
      <c r="E7" s="2"/>
      <c r="F7" s="51">
        <v>75911489656.149994</v>
      </c>
      <c r="G7" s="51">
        <v>76664227299.149994</v>
      </c>
      <c r="H7" s="52">
        <f t="shared" ref="H7:H14" si="0">G7-F7</f>
        <v>752737643</v>
      </c>
      <c r="I7" s="51">
        <v>78403057029.759995</v>
      </c>
      <c r="J7" s="52">
        <f t="shared" ref="J7:J14" si="1">I7-G7</f>
        <v>1738829730.6100006</v>
      </c>
      <c r="K7" s="51">
        <v>78403057029.759995</v>
      </c>
      <c r="L7" s="52">
        <f>K7-I7</f>
        <v>0</v>
      </c>
      <c r="M7" s="51">
        <v>82293878704.779999</v>
      </c>
      <c r="N7" s="52">
        <f>M7-K7</f>
        <v>3890821675.0200043</v>
      </c>
      <c r="O7" s="51">
        <v>83022315795.820007</v>
      </c>
      <c r="P7" s="52">
        <f>O7-M7</f>
        <v>728437091.04000854</v>
      </c>
      <c r="Q7" s="51">
        <v>83069560374.869995</v>
      </c>
      <c r="R7" s="52">
        <f t="shared" ref="R7:R15" si="2">Q7-O7</f>
        <v>47244579.049987793</v>
      </c>
      <c r="S7" s="52">
        <f>Q7-F7</f>
        <v>7158070718.7200012</v>
      </c>
    </row>
    <row r="8" spans="1:20" ht="18.600000000000001" customHeight="1" x14ac:dyDescent="0.2">
      <c r="A8" s="50" t="s">
        <v>97</v>
      </c>
      <c r="B8" s="85"/>
      <c r="C8" s="86"/>
      <c r="D8" s="2"/>
      <c r="E8" s="2"/>
      <c r="F8" s="51">
        <f>F7-F9</f>
        <v>59197752788.939995</v>
      </c>
      <c r="G8" s="51">
        <f>G7-G9</f>
        <v>59197752788.939995</v>
      </c>
      <c r="H8" s="52">
        <f t="shared" si="0"/>
        <v>0</v>
      </c>
      <c r="I8" s="51">
        <f>I7-I9</f>
        <v>59197752788.939995</v>
      </c>
      <c r="J8" s="52">
        <f t="shared" si="1"/>
        <v>0</v>
      </c>
      <c r="K8" s="51">
        <f>K7-K9</f>
        <v>59197752788.939995</v>
      </c>
      <c r="L8" s="52">
        <f t="shared" ref="L8:L14" si="3">K8-I8</f>
        <v>0</v>
      </c>
      <c r="M8" s="51">
        <f>M7-M9</f>
        <v>61131884421.940002</v>
      </c>
      <c r="N8" s="52">
        <f t="shared" ref="N8:N14" si="4">M8-K8</f>
        <v>1934131633.0000076</v>
      </c>
      <c r="O8" s="51">
        <f>O7-O9</f>
        <v>61545093921.940002</v>
      </c>
      <c r="P8" s="52">
        <f t="shared" ref="P8:P15" si="5">O8-M8</f>
        <v>413209500</v>
      </c>
      <c r="Q8" s="51">
        <f>Q7-Q9</f>
        <v>61803195120.939995</v>
      </c>
      <c r="R8" s="52">
        <f t="shared" si="2"/>
        <v>258101198.99999237</v>
      </c>
      <c r="S8" s="52">
        <f t="shared" ref="S8:S15" si="6">Q8-F8</f>
        <v>2605442332</v>
      </c>
    </row>
    <row r="9" spans="1:20" ht="25.15" customHeight="1" x14ac:dyDescent="0.2">
      <c r="A9" s="50" t="s">
        <v>98</v>
      </c>
      <c r="B9" s="85"/>
      <c r="C9" s="86"/>
      <c r="D9" s="2"/>
      <c r="E9" s="2"/>
      <c r="F9" s="51">
        <f>15449679000+1264057867.21</f>
        <v>16713736867.209999</v>
      </c>
      <c r="G9" s="51">
        <v>17466474510.209999</v>
      </c>
      <c r="H9" s="52">
        <f t="shared" si="0"/>
        <v>752737643</v>
      </c>
      <c r="I9" s="51">
        <v>19205304240.82</v>
      </c>
      <c r="J9" s="52">
        <f t="shared" si="1"/>
        <v>1738829730.6100006</v>
      </c>
      <c r="K9" s="51">
        <v>19205304240.82</v>
      </c>
      <c r="L9" s="52">
        <f>K9-I9</f>
        <v>0</v>
      </c>
      <c r="M9" s="51">
        <v>21161994282.84</v>
      </c>
      <c r="N9" s="52">
        <f>M9-K9</f>
        <v>1956690042.0200005</v>
      </c>
      <c r="O9" s="51">
        <v>21477221873.880001</v>
      </c>
      <c r="P9" s="52">
        <f t="shared" si="5"/>
        <v>315227591.04000092</v>
      </c>
      <c r="Q9" s="51">
        <v>21266365253.93</v>
      </c>
      <c r="R9" s="52">
        <f t="shared" si="2"/>
        <v>-210856619.95000076</v>
      </c>
      <c r="S9" s="52">
        <f t="shared" si="6"/>
        <v>4552628386.7200012</v>
      </c>
    </row>
    <row r="10" spans="1:20" ht="34.15" customHeight="1" x14ac:dyDescent="0.2">
      <c r="A10" s="48" t="s">
        <v>99</v>
      </c>
      <c r="B10" s="85"/>
      <c r="C10" s="86"/>
      <c r="D10" s="2"/>
      <c r="E10" s="2"/>
      <c r="F10" s="53"/>
      <c r="G10" s="53">
        <f>F10</f>
        <v>0</v>
      </c>
      <c r="H10" s="65">
        <f t="shared" si="0"/>
        <v>0</v>
      </c>
      <c r="I10" s="53">
        <f>G10</f>
        <v>0</v>
      </c>
      <c r="J10" s="65">
        <f t="shared" si="1"/>
        <v>0</v>
      </c>
      <c r="K10" s="53">
        <f>I10</f>
        <v>0</v>
      </c>
      <c r="L10" s="52">
        <f>K10-I10</f>
        <v>0</v>
      </c>
      <c r="M10" s="53">
        <f>K10+698868600</f>
        <v>698868600</v>
      </c>
      <c r="N10" s="65">
        <f t="shared" si="4"/>
        <v>698868600</v>
      </c>
      <c r="O10" s="53">
        <f>M10</f>
        <v>698868600</v>
      </c>
      <c r="P10" s="65">
        <f t="shared" si="5"/>
        <v>0</v>
      </c>
      <c r="Q10" s="53">
        <f>O10</f>
        <v>698868600</v>
      </c>
      <c r="R10" s="65">
        <f t="shared" si="2"/>
        <v>0</v>
      </c>
      <c r="S10" s="65">
        <f t="shared" si="6"/>
        <v>698868600</v>
      </c>
      <c r="T10" s="60"/>
    </row>
    <row r="11" spans="1:20" ht="37.15" customHeight="1" x14ac:dyDescent="0.2">
      <c r="A11" s="49" t="s">
        <v>100</v>
      </c>
      <c r="B11" s="85"/>
      <c r="C11" s="86"/>
      <c r="D11" s="2"/>
      <c r="E11" s="2"/>
      <c r="F11" s="53">
        <v>9907580500</v>
      </c>
      <c r="G11" s="53">
        <f>F11+193524600</f>
        <v>10101105100</v>
      </c>
      <c r="H11" s="65">
        <f t="shared" si="0"/>
        <v>193524600</v>
      </c>
      <c r="I11" s="53">
        <f>G11+258624600</f>
        <v>10359729700</v>
      </c>
      <c r="J11" s="65">
        <f t="shared" si="1"/>
        <v>258624600</v>
      </c>
      <c r="K11" s="53">
        <f>I11</f>
        <v>10359729700</v>
      </c>
      <c r="L11" s="52">
        <f>K11-I11</f>
        <v>0</v>
      </c>
      <c r="M11" s="53">
        <f>K11+492459600</f>
        <v>10852189300</v>
      </c>
      <c r="N11" s="65">
        <f t="shared" si="4"/>
        <v>492459600</v>
      </c>
      <c r="O11" s="53">
        <f>M11+216416500</f>
        <v>11068605800</v>
      </c>
      <c r="P11" s="65">
        <f t="shared" si="5"/>
        <v>216416500</v>
      </c>
      <c r="Q11" s="53">
        <f>O11-204798900</f>
        <v>10863806900</v>
      </c>
      <c r="R11" s="65">
        <f t="shared" si="2"/>
        <v>-204798900</v>
      </c>
      <c r="S11" s="65">
        <f t="shared" si="6"/>
        <v>956226400</v>
      </c>
      <c r="T11" s="60"/>
    </row>
    <row r="12" spans="1:20" ht="37.9" customHeight="1" x14ac:dyDescent="0.2">
      <c r="A12" s="49" t="s">
        <v>101</v>
      </c>
      <c r="B12" s="85"/>
      <c r="C12" s="86"/>
      <c r="D12" s="2"/>
      <c r="E12" s="2"/>
      <c r="F12" s="53">
        <v>3035938400</v>
      </c>
      <c r="G12" s="53">
        <f>F12</f>
        <v>3035938400</v>
      </c>
      <c r="H12" s="65">
        <f t="shared" si="0"/>
        <v>0</v>
      </c>
      <c r="I12" s="53">
        <f>G12</f>
        <v>3035938400</v>
      </c>
      <c r="J12" s="65">
        <f t="shared" si="1"/>
        <v>0</v>
      </c>
      <c r="K12" s="53">
        <f>I12</f>
        <v>3035938400</v>
      </c>
      <c r="L12" s="52">
        <f t="shared" si="3"/>
        <v>0</v>
      </c>
      <c r="M12" s="53">
        <f>K12-134942400</f>
        <v>2900996000</v>
      </c>
      <c r="N12" s="65">
        <f t="shared" si="4"/>
        <v>-134942400</v>
      </c>
      <c r="O12" s="53">
        <f>M12+21982900</f>
        <v>2922978900</v>
      </c>
      <c r="P12" s="65">
        <f t="shared" si="5"/>
        <v>21982900</v>
      </c>
      <c r="Q12" s="53">
        <f>O12-27805200</f>
        <v>2895173700</v>
      </c>
      <c r="R12" s="65">
        <f t="shared" si="2"/>
        <v>-27805200</v>
      </c>
      <c r="S12" s="65">
        <f t="shared" si="6"/>
        <v>-140764700</v>
      </c>
    </row>
    <row r="13" spans="1:20" ht="16.5" x14ac:dyDescent="0.2">
      <c r="A13" s="49" t="s">
        <v>102</v>
      </c>
      <c r="B13" s="85"/>
      <c r="C13" s="86"/>
      <c r="D13" s="2"/>
      <c r="E13" s="2"/>
      <c r="F13" s="53">
        <v>2506160100</v>
      </c>
      <c r="G13" s="53">
        <f>F13+492893500</f>
        <v>2999053600</v>
      </c>
      <c r="H13" s="65">
        <f t="shared" si="0"/>
        <v>492893500</v>
      </c>
      <c r="I13" s="53">
        <f>G13+326868987.49</f>
        <v>3325922587.4899998</v>
      </c>
      <c r="J13" s="65">
        <f t="shared" si="1"/>
        <v>326868987.48999977</v>
      </c>
      <c r="K13" s="53">
        <f>I13</f>
        <v>3325922587.4899998</v>
      </c>
      <c r="L13" s="52">
        <f t="shared" si="3"/>
        <v>0</v>
      </c>
      <c r="M13" s="53">
        <f>K13+900304242.02</f>
        <v>4226226829.5099998</v>
      </c>
      <c r="N13" s="65">
        <f t="shared" si="4"/>
        <v>900304242.01999998</v>
      </c>
      <c r="O13" s="53">
        <f>M13+69988468.84</f>
        <v>4296215298.3499994</v>
      </c>
      <c r="P13" s="65">
        <f t="shared" si="5"/>
        <v>69988468.839999676</v>
      </c>
      <c r="Q13" s="53">
        <f>O13+255668948.74</f>
        <v>4551884247.0899992</v>
      </c>
      <c r="R13" s="65">
        <f t="shared" si="2"/>
        <v>255668948.73999977</v>
      </c>
      <c r="S13" s="65">
        <f t="shared" si="6"/>
        <v>2045724147.0899992</v>
      </c>
    </row>
    <row r="14" spans="1:20" ht="52.5" customHeight="1" x14ac:dyDescent="0.2">
      <c r="A14" s="49" t="s">
        <v>103</v>
      </c>
      <c r="B14" s="54"/>
      <c r="C14" s="55"/>
      <c r="D14" s="2"/>
      <c r="E14" s="2"/>
      <c r="F14" s="53">
        <v>1264057867.21</v>
      </c>
      <c r="G14" s="53">
        <f>F14+66319543</f>
        <v>1330377410.21</v>
      </c>
      <c r="H14" s="65">
        <f t="shared" si="0"/>
        <v>66319543</v>
      </c>
      <c r="I14" s="53">
        <f>G14+1153336143.12</f>
        <v>2483713553.3299999</v>
      </c>
      <c r="J14" s="65">
        <f t="shared" si="1"/>
        <v>1153336143.1199999</v>
      </c>
      <c r="K14" s="53">
        <f>I14</f>
        <v>2483713553.3299999</v>
      </c>
      <c r="L14" s="52">
        <f t="shared" si="3"/>
        <v>0</v>
      </c>
      <c r="M14" s="53">
        <f>K14</f>
        <v>2483713553.3299999</v>
      </c>
      <c r="N14" s="52">
        <f t="shared" si="4"/>
        <v>0</v>
      </c>
      <c r="O14" s="53">
        <f>M14+2528991.2</f>
        <v>2486242544.5299997</v>
      </c>
      <c r="P14" s="65">
        <f t="shared" si="5"/>
        <v>2528991.1999998093</v>
      </c>
      <c r="Q14" s="53">
        <f>O14-74086757.44-159834711.25</f>
        <v>2252321075.8399997</v>
      </c>
      <c r="R14" s="65">
        <f t="shared" si="2"/>
        <v>-233921468.69000006</v>
      </c>
      <c r="S14" s="65">
        <f t="shared" si="6"/>
        <v>988263208.62999964</v>
      </c>
    </row>
    <row r="15" spans="1:20" ht="47.25" customHeight="1" x14ac:dyDescent="0.2">
      <c r="A15" s="49" t="s">
        <v>112</v>
      </c>
      <c r="B15" s="54"/>
      <c r="C15" s="55"/>
      <c r="D15" s="2"/>
      <c r="E15" s="2"/>
      <c r="F15" s="53"/>
      <c r="G15" s="53"/>
      <c r="H15" s="65"/>
      <c r="I15" s="53"/>
      <c r="J15" s="65"/>
      <c r="K15" s="53"/>
      <c r="L15" s="52"/>
      <c r="M15" s="53"/>
      <c r="N15" s="52"/>
      <c r="O15" s="53">
        <v>4310731</v>
      </c>
      <c r="P15" s="65">
        <f t="shared" si="5"/>
        <v>4310731</v>
      </c>
      <c r="Q15" s="53">
        <f>O15</f>
        <v>4310731</v>
      </c>
      <c r="R15" s="52">
        <f t="shared" si="2"/>
        <v>0</v>
      </c>
      <c r="S15" s="65">
        <f t="shared" si="6"/>
        <v>4310731</v>
      </c>
    </row>
    <row r="16" spans="1:20" ht="38.25" hidden="1" customHeight="1" x14ac:dyDescent="0.2">
      <c r="A16" s="49"/>
      <c r="B16" s="54"/>
      <c r="C16" s="55"/>
      <c r="D16" s="2"/>
      <c r="E16" s="2"/>
      <c r="F16" s="67">
        <f>F9-F10-F11-F12-F13-F14</f>
        <v>0</v>
      </c>
      <c r="G16" s="67">
        <f>G9-G10-G11-G12-G13-G14</f>
        <v>0</v>
      </c>
      <c r="H16" s="66">
        <f t="shared" ref="H16:S16" si="7">H9-H10-H11-H12-H13-H14-H15</f>
        <v>0</v>
      </c>
      <c r="I16" s="66">
        <f t="shared" si="7"/>
        <v>0</v>
      </c>
      <c r="J16" s="66">
        <f t="shared" si="7"/>
        <v>9.5367431640625E-7</v>
      </c>
      <c r="K16" s="66">
        <f t="shared" si="7"/>
        <v>0</v>
      </c>
      <c r="L16" s="66">
        <f t="shared" si="7"/>
        <v>0</v>
      </c>
      <c r="M16" s="66">
        <f t="shared" si="7"/>
        <v>4.76837158203125E-7</v>
      </c>
      <c r="N16" s="66">
        <f t="shared" si="7"/>
        <v>4.76837158203125E-7</v>
      </c>
      <c r="O16" s="66">
        <f t="shared" si="7"/>
        <v>1.9073486328125E-6</v>
      </c>
      <c r="P16" s="66">
        <f t="shared" si="7"/>
        <v>1.430511474609375E-6</v>
      </c>
      <c r="Q16" s="66">
        <f t="shared" si="7"/>
        <v>1.430511474609375E-6</v>
      </c>
      <c r="R16" s="66">
        <f t="shared" si="7"/>
        <v>-4.76837158203125E-7</v>
      </c>
      <c r="S16" s="66">
        <f t="shared" si="7"/>
        <v>2.384185791015625E-6</v>
      </c>
      <c r="T16" s="18"/>
    </row>
    <row r="17" spans="1:19" ht="16.5" x14ac:dyDescent="0.2">
      <c r="A17" s="27" t="s">
        <v>6</v>
      </c>
      <c r="B17" s="87"/>
      <c r="C17" s="88"/>
      <c r="D17" s="5">
        <f>D19+D28+D31+D39+D49+D54+D57+D65+D68+D75+D81+D85+D89+D91</f>
        <v>0</v>
      </c>
      <c r="E17" s="5">
        <f>E19+E28+E31+E39+E49+E54+E57+E65+E68+E75+E81+E85+E89+E91</f>
        <v>0</v>
      </c>
      <c r="F17" s="33">
        <f>F19+F28+F31+F39+F49+F54+F57+F65+F68+F75+F81+F85+F89+F91</f>
        <v>85455083156.149994</v>
      </c>
      <c r="G17" s="33">
        <f>G19+G28+G31+G39+G49+G54+G57+G65+G68+G75+G81+G85+G89+G91</f>
        <v>92846959343.509995</v>
      </c>
      <c r="H17" s="52">
        <f>G17-F17</f>
        <v>7391876187.3600006</v>
      </c>
      <c r="I17" s="33">
        <f>I19+I28+I31+I39+I49+I54+I57+I65+I68+I75+I81+I85+I89+I91</f>
        <v>102177773577.75</v>
      </c>
      <c r="J17" s="52">
        <f>I17-G17</f>
        <v>9330814234.2400055</v>
      </c>
      <c r="K17" s="33">
        <f t="shared" ref="K17:R17" si="8">K19+K28+K31+K39+K49+K54+K57+K65+K68+K75+K81+K85+K89+K91</f>
        <v>102177773577.75</v>
      </c>
      <c r="L17" s="34">
        <f t="shared" si="8"/>
        <v>-9.5367431640625E-7</v>
      </c>
      <c r="M17" s="33">
        <f t="shared" si="8"/>
        <v>106068595252.76999</v>
      </c>
      <c r="N17" s="34">
        <f t="shared" si="8"/>
        <v>3890821675.0199995</v>
      </c>
      <c r="O17" s="33">
        <f t="shared" si="8"/>
        <v>106797032343.81</v>
      </c>
      <c r="P17" s="34">
        <f t="shared" si="8"/>
        <v>728437091.03999853</v>
      </c>
      <c r="Q17" s="33">
        <f t="shared" si="8"/>
        <v>106844276922.86</v>
      </c>
      <c r="R17" s="34">
        <f t="shared" si="8"/>
        <v>47244579.050000966</v>
      </c>
      <c r="S17" s="34">
        <f>Q17-F17</f>
        <v>21389193766.710007</v>
      </c>
    </row>
    <row r="18" spans="1:19" ht="38.2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3"/>
      <c r="P18" s="34"/>
      <c r="Q18" s="33"/>
      <c r="R18" s="34"/>
      <c r="S18" s="34"/>
    </row>
    <row r="19" spans="1:19" s="61" customFormat="1" ht="14.25" x14ac:dyDescent="0.2">
      <c r="A19" s="28" t="s">
        <v>7</v>
      </c>
      <c r="B19" s="29" t="s">
        <v>8</v>
      </c>
      <c r="C19" s="29" t="s">
        <v>9</v>
      </c>
      <c r="D19" s="6">
        <f t="shared" ref="D19:S19" si="9">SUM(D20:D27)</f>
        <v>0</v>
      </c>
      <c r="E19" s="6">
        <f t="shared" si="9"/>
        <v>0</v>
      </c>
      <c r="F19" s="37">
        <f t="shared" si="9"/>
        <v>4008060328.6700001</v>
      </c>
      <c r="G19" s="37">
        <f t="shared" si="9"/>
        <v>4076606406.8400002</v>
      </c>
      <c r="H19" s="38">
        <f t="shared" si="9"/>
        <v>68546078.170000076</v>
      </c>
      <c r="I19" s="37">
        <f t="shared" si="9"/>
        <v>9461572319.1500015</v>
      </c>
      <c r="J19" s="38">
        <f t="shared" si="9"/>
        <v>5384965912.3100004</v>
      </c>
      <c r="K19" s="37">
        <f t="shared" si="9"/>
        <v>9447004743.2000008</v>
      </c>
      <c r="L19" s="38">
        <f t="shared" si="9"/>
        <v>-14567575.950000763</v>
      </c>
      <c r="M19" s="37">
        <f t="shared" si="9"/>
        <v>9913462706.75</v>
      </c>
      <c r="N19" s="38">
        <f t="shared" si="9"/>
        <v>466457963.55000067</v>
      </c>
      <c r="O19" s="37">
        <f t="shared" si="9"/>
        <v>9693461893.1399994</v>
      </c>
      <c r="P19" s="38">
        <f t="shared" si="9"/>
        <v>-220000813.61000076</v>
      </c>
      <c r="Q19" s="37">
        <f t="shared" si="9"/>
        <v>10620019219.059999</v>
      </c>
      <c r="R19" s="38">
        <f t="shared" si="9"/>
        <v>926557325.92000031</v>
      </c>
      <c r="S19" s="70">
        <f t="shared" si="9"/>
        <v>6611958890.3899994</v>
      </c>
    </row>
    <row r="20" spans="1:19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39">
        <v>4701124</v>
      </c>
      <c r="G20" s="39">
        <v>4879404</v>
      </c>
      <c r="H20" s="24">
        <f>G20-F20</f>
        <v>178280</v>
      </c>
      <c r="I20" s="39">
        <v>4879404</v>
      </c>
      <c r="J20" s="24">
        <f>I20-G20</f>
        <v>0</v>
      </c>
      <c r="K20" s="39">
        <v>4879404</v>
      </c>
      <c r="L20" s="24">
        <f>K20-I20</f>
        <v>0</v>
      </c>
      <c r="M20" s="39">
        <v>4879404</v>
      </c>
      <c r="N20" s="24">
        <f>M20-K20</f>
        <v>0</v>
      </c>
      <c r="O20" s="39">
        <v>4879404</v>
      </c>
      <c r="P20" s="24">
        <f>O20-M20</f>
        <v>0</v>
      </c>
      <c r="Q20" s="39">
        <v>5756501</v>
      </c>
      <c r="R20" s="24">
        <f>Q20-O20</f>
        <v>877097</v>
      </c>
      <c r="S20" s="69">
        <f t="shared" ref="S20:S27" si="10">Q20-F20</f>
        <v>1055377</v>
      </c>
    </row>
    <row r="21" spans="1:19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23">
        <v>84666100</v>
      </c>
      <c r="G21" s="23">
        <v>88832117</v>
      </c>
      <c r="H21" s="24">
        <f t="shared" ref="H21:H27" si="11">G21-F21</f>
        <v>4166017</v>
      </c>
      <c r="I21" s="23">
        <v>97605066.390000001</v>
      </c>
      <c r="J21" s="24">
        <f t="shared" ref="J21:J27" si="12">I21-G21</f>
        <v>8772949.3900000006</v>
      </c>
      <c r="K21" s="25">
        <v>97605066.390000001</v>
      </c>
      <c r="L21" s="24">
        <f t="shared" ref="L21:L27" si="13">K21-I21</f>
        <v>0</v>
      </c>
      <c r="M21" s="25">
        <v>111789640.41</v>
      </c>
      <c r="N21" s="24">
        <f t="shared" ref="N21:N27" si="14">M21-K21</f>
        <v>14184574.019999996</v>
      </c>
      <c r="O21" s="23">
        <v>114690271.25</v>
      </c>
      <c r="P21" s="24">
        <f t="shared" ref="P21:P27" si="15">O21-M21</f>
        <v>2900630.8400000036</v>
      </c>
      <c r="Q21" s="23">
        <v>113626853.98999999</v>
      </c>
      <c r="R21" s="24">
        <f t="shared" ref="R21:R27" si="16">Q21-O21</f>
        <v>-1063417.2600000054</v>
      </c>
      <c r="S21" s="69">
        <f t="shared" si="10"/>
        <v>28960753.989999995</v>
      </c>
    </row>
    <row r="22" spans="1:19" s="10" customFormat="1" ht="51.75" customHeight="1" x14ac:dyDescent="0.2">
      <c r="A22" s="19" t="s">
        <v>13</v>
      </c>
      <c r="B22" s="20" t="s">
        <v>8</v>
      </c>
      <c r="C22" s="20" t="s">
        <v>14</v>
      </c>
      <c r="D22" s="8"/>
      <c r="E22" s="9"/>
      <c r="F22" s="23">
        <v>259574224</v>
      </c>
      <c r="G22" s="23">
        <v>275221149</v>
      </c>
      <c r="H22" s="24">
        <f t="shared" si="11"/>
        <v>15646925</v>
      </c>
      <c r="I22" s="23">
        <v>275225096.91000003</v>
      </c>
      <c r="J22" s="24">
        <f t="shared" si="12"/>
        <v>3947.910000026226</v>
      </c>
      <c r="K22" s="25">
        <v>275225096.91000003</v>
      </c>
      <c r="L22" s="24">
        <f t="shared" si="13"/>
        <v>0</v>
      </c>
      <c r="M22" s="25">
        <v>275225096.91000003</v>
      </c>
      <c r="N22" s="24">
        <f t="shared" si="14"/>
        <v>0</v>
      </c>
      <c r="O22" s="23">
        <v>282725096.91000003</v>
      </c>
      <c r="P22" s="24">
        <f t="shared" si="15"/>
        <v>7500000</v>
      </c>
      <c r="Q22" s="23">
        <v>292466112.91000003</v>
      </c>
      <c r="R22" s="24">
        <f t="shared" si="16"/>
        <v>9741016</v>
      </c>
      <c r="S22" s="69">
        <f t="shared" si="10"/>
        <v>32891888.910000026</v>
      </c>
    </row>
    <row r="23" spans="1:19" ht="15" x14ac:dyDescent="0.25">
      <c r="A23" s="19" t="s">
        <v>15</v>
      </c>
      <c r="B23" s="30" t="s">
        <v>8</v>
      </c>
      <c r="C23" s="30" t="s">
        <v>16</v>
      </c>
      <c r="D23" s="11"/>
      <c r="E23" s="7"/>
      <c r="F23" s="23">
        <v>1183700</v>
      </c>
      <c r="G23" s="23">
        <v>1183700</v>
      </c>
      <c r="H23" s="24">
        <f t="shared" si="11"/>
        <v>0</v>
      </c>
      <c r="I23" s="23">
        <v>1183700</v>
      </c>
      <c r="J23" s="24">
        <f t="shared" si="12"/>
        <v>0</v>
      </c>
      <c r="K23" s="25">
        <v>1183700</v>
      </c>
      <c r="L23" s="24">
        <f t="shared" si="13"/>
        <v>0</v>
      </c>
      <c r="M23" s="25">
        <v>1183700</v>
      </c>
      <c r="N23" s="24">
        <f t="shared" si="14"/>
        <v>0</v>
      </c>
      <c r="O23" s="25">
        <v>1183700</v>
      </c>
      <c r="P23" s="24">
        <f t="shared" si="15"/>
        <v>0</v>
      </c>
      <c r="Q23" s="25">
        <v>1183700</v>
      </c>
      <c r="R23" s="24">
        <f t="shared" si="16"/>
        <v>0</v>
      </c>
      <c r="S23" s="69">
        <f t="shared" si="10"/>
        <v>0</v>
      </c>
    </row>
    <row r="24" spans="1:19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23">
        <v>129104850</v>
      </c>
      <c r="G24" s="23">
        <v>142684592</v>
      </c>
      <c r="H24" s="24">
        <f t="shared" si="11"/>
        <v>13579742</v>
      </c>
      <c r="I24" s="23">
        <v>144240302</v>
      </c>
      <c r="J24" s="24">
        <f t="shared" si="12"/>
        <v>1555710</v>
      </c>
      <c r="K24" s="23">
        <v>144240302</v>
      </c>
      <c r="L24" s="24">
        <f t="shared" si="13"/>
        <v>0</v>
      </c>
      <c r="M24" s="23">
        <v>146158512</v>
      </c>
      <c r="N24" s="24">
        <f t="shared" si="14"/>
        <v>1918210</v>
      </c>
      <c r="O24" s="23">
        <v>146837362</v>
      </c>
      <c r="P24" s="24">
        <f t="shared" si="15"/>
        <v>678850</v>
      </c>
      <c r="Q24" s="23">
        <v>149501354</v>
      </c>
      <c r="R24" s="24">
        <f t="shared" si="16"/>
        <v>2663992</v>
      </c>
      <c r="S24" s="69">
        <f t="shared" si="10"/>
        <v>20396504</v>
      </c>
    </row>
    <row r="25" spans="1:19" ht="15" x14ac:dyDescent="0.25">
      <c r="A25" s="19" t="s">
        <v>19</v>
      </c>
      <c r="B25" s="20" t="s">
        <v>8</v>
      </c>
      <c r="C25" s="20" t="s">
        <v>20</v>
      </c>
      <c r="D25" s="11"/>
      <c r="E25" s="7"/>
      <c r="F25" s="23">
        <v>45387000</v>
      </c>
      <c r="G25" s="23">
        <v>48444025</v>
      </c>
      <c r="H25" s="24">
        <f t="shared" si="11"/>
        <v>3057025</v>
      </c>
      <c r="I25" s="23">
        <v>50145605</v>
      </c>
      <c r="J25" s="24">
        <f t="shared" si="12"/>
        <v>1701580</v>
      </c>
      <c r="K25" s="25">
        <v>50145605</v>
      </c>
      <c r="L25" s="24">
        <f t="shared" si="13"/>
        <v>0</v>
      </c>
      <c r="M25" s="25">
        <v>50337061</v>
      </c>
      <c r="N25" s="24">
        <f t="shared" si="14"/>
        <v>191456</v>
      </c>
      <c r="O25" s="25">
        <v>50867257</v>
      </c>
      <c r="P25" s="24">
        <f t="shared" si="15"/>
        <v>530196</v>
      </c>
      <c r="Q25" s="25">
        <v>52726194</v>
      </c>
      <c r="R25" s="24">
        <f t="shared" si="16"/>
        <v>1858937</v>
      </c>
      <c r="S25" s="69">
        <f t="shared" si="10"/>
        <v>7339194</v>
      </c>
    </row>
    <row r="26" spans="1:19" ht="15" x14ac:dyDescent="0.25">
      <c r="A26" s="19" t="s">
        <v>22</v>
      </c>
      <c r="B26" s="20" t="s">
        <v>8</v>
      </c>
      <c r="C26" s="20" t="s">
        <v>23</v>
      </c>
      <c r="D26" s="11"/>
      <c r="E26" s="7"/>
      <c r="F26" s="23">
        <v>500000000</v>
      </c>
      <c r="G26" s="23">
        <v>940000000</v>
      </c>
      <c r="H26" s="24">
        <f t="shared" si="11"/>
        <v>440000000</v>
      </c>
      <c r="I26" s="23">
        <v>4040000000</v>
      </c>
      <c r="J26" s="24">
        <f t="shared" si="12"/>
        <v>3100000000</v>
      </c>
      <c r="K26" s="23">
        <v>4040000000</v>
      </c>
      <c r="L26" s="24">
        <f t="shared" si="13"/>
        <v>0</v>
      </c>
      <c r="M26" s="23">
        <v>4040000000</v>
      </c>
      <c r="N26" s="24">
        <f t="shared" si="14"/>
        <v>0</v>
      </c>
      <c r="O26" s="23">
        <v>4040000000</v>
      </c>
      <c r="P26" s="24">
        <f t="shared" si="15"/>
        <v>0</v>
      </c>
      <c r="Q26" s="23">
        <v>4040000000</v>
      </c>
      <c r="R26" s="24">
        <f t="shared" si="16"/>
        <v>0</v>
      </c>
      <c r="S26" s="69">
        <f t="shared" si="10"/>
        <v>3540000000</v>
      </c>
    </row>
    <row r="27" spans="1:19" ht="15" x14ac:dyDescent="0.25">
      <c r="A27" s="19" t="s">
        <v>24</v>
      </c>
      <c r="B27" s="20" t="s">
        <v>8</v>
      </c>
      <c r="C27" s="20" t="s">
        <v>25</v>
      </c>
      <c r="D27" s="11"/>
      <c r="E27" s="7"/>
      <c r="F27" s="23">
        <v>2983443330.6700001</v>
      </c>
      <c r="G27" s="23">
        <v>2575361419.8400002</v>
      </c>
      <c r="H27" s="24">
        <f t="shared" si="11"/>
        <v>-408081910.82999992</v>
      </c>
      <c r="I27" s="23">
        <v>4848293144.8500004</v>
      </c>
      <c r="J27" s="24">
        <f t="shared" si="12"/>
        <v>2272931725.0100002</v>
      </c>
      <c r="K27" s="25">
        <v>4833725568.8999996</v>
      </c>
      <c r="L27" s="24">
        <f t="shared" si="13"/>
        <v>-14567575.950000763</v>
      </c>
      <c r="M27" s="25">
        <v>5283889292.4300003</v>
      </c>
      <c r="N27" s="24">
        <f t="shared" si="14"/>
        <v>450163723.53000069</v>
      </c>
      <c r="O27" s="23">
        <v>5052278801.9799995</v>
      </c>
      <c r="P27" s="24">
        <f t="shared" si="15"/>
        <v>-231610490.45000076</v>
      </c>
      <c r="Q27" s="23">
        <v>5964758503.1599998</v>
      </c>
      <c r="R27" s="24">
        <f t="shared" si="16"/>
        <v>912479701.18000031</v>
      </c>
      <c r="S27" s="69">
        <f t="shared" si="10"/>
        <v>2981315172.4899998</v>
      </c>
    </row>
    <row r="28" spans="1:19" s="61" customFormat="1" ht="14.25" x14ac:dyDescent="0.2">
      <c r="A28" s="28" t="s">
        <v>26</v>
      </c>
      <c r="B28" s="29" t="s">
        <v>10</v>
      </c>
      <c r="C28" s="29" t="s">
        <v>9</v>
      </c>
      <c r="D28" s="6">
        <f>SUM(D29:D30)</f>
        <v>0</v>
      </c>
      <c r="E28" s="6"/>
      <c r="F28" s="37">
        <f t="shared" ref="F28:P28" si="17">SUM(F29:F30)</f>
        <v>173434200</v>
      </c>
      <c r="G28" s="37">
        <f t="shared" si="17"/>
        <v>173434200</v>
      </c>
      <c r="H28" s="38">
        <f t="shared" si="17"/>
        <v>0</v>
      </c>
      <c r="I28" s="37">
        <f t="shared" si="17"/>
        <v>242240200</v>
      </c>
      <c r="J28" s="38">
        <f t="shared" si="17"/>
        <v>68806000</v>
      </c>
      <c r="K28" s="37">
        <f t="shared" si="17"/>
        <v>242240200</v>
      </c>
      <c r="L28" s="38">
        <f t="shared" si="17"/>
        <v>0</v>
      </c>
      <c r="M28" s="37">
        <f t="shared" si="17"/>
        <v>240135856</v>
      </c>
      <c r="N28" s="38">
        <f t="shared" si="17"/>
        <v>-2104344</v>
      </c>
      <c r="O28" s="37">
        <f t="shared" si="17"/>
        <v>237064756</v>
      </c>
      <c r="P28" s="38">
        <f t="shared" si="17"/>
        <v>-3071100</v>
      </c>
      <c r="Q28" s="37">
        <f>SUM(Q29:Q30)</f>
        <v>59672768</v>
      </c>
      <c r="R28" s="38">
        <f>SUM(R29:R30)</f>
        <v>-177391988</v>
      </c>
      <c r="S28" s="70">
        <f>SUM(S29:S30)</f>
        <v>-113761432</v>
      </c>
    </row>
    <row r="29" spans="1:19" ht="15" x14ac:dyDescent="0.25">
      <c r="A29" s="19" t="s">
        <v>27</v>
      </c>
      <c r="B29" s="20" t="s">
        <v>10</v>
      </c>
      <c r="C29" s="20" t="s">
        <v>12</v>
      </c>
      <c r="D29" s="12"/>
      <c r="E29" s="7"/>
      <c r="F29" s="40">
        <v>32453200</v>
      </c>
      <c r="G29" s="40">
        <v>32453200</v>
      </c>
      <c r="H29" s="24">
        <f>G29-F29</f>
        <v>0</v>
      </c>
      <c r="I29" s="40">
        <v>32453200</v>
      </c>
      <c r="J29" s="24">
        <f>I29-G29</f>
        <v>0</v>
      </c>
      <c r="K29" s="40">
        <v>32453200</v>
      </c>
      <c r="L29" s="24">
        <f>K29-I29</f>
        <v>0</v>
      </c>
      <c r="M29" s="40">
        <v>32453200</v>
      </c>
      <c r="N29" s="24">
        <f>M29-K29</f>
        <v>0</v>
      </c>
      <c r="O29" s="40">
        <v>34382100</v>
      </c>
      <c r="P29" s="24">
        <f>O29-M29</f>
        <v>1928900</v>
      </c>
      <c r="Q29" s="40">
        <v>34382100</v>
      </c>
      <c r="R29" s="24">
        <f>Q29-O29</f>
        <v>0</v>
      </c>
      <c r="S29" s="69">
        <f>Q29-F29</f>
        <v>1928900</v>
      </c>
    </row>
    <row r="30" spans="1:19" ht="15" x14ac:dyDescent="0.25">
      <c r="A30" s="19" t="s">
        <v>28</v>
      </c>
      <c r="B30" s="20" t="s">
        <v>10</v>
      </c>
      <c r="C30" s="20" t="s">
        <v>14</v>
      </c>
      <c r="D30" s="4"/>
      <c r="E30" s="7"/>
      <c r="F30" s="23">
        <v>140981000</v>
      </c>
      <c r="G30" s="23">
        <v>140981000</v>
      </c>
      <c r="H30" s="24">
        <f>G30-F30</f>
        <v>0</v>
      </c>
      <c r="I30" s="23">
        <v>209787000</v>
      </c>
      <c r="J30" s="24">
        <f>I30-G30</f>
        <v>68806000</v>
      </c>
      <c r="K30" s="23">
        <v>209787000</v>
      </c>
      <c r="L30" s="24">
        <f>K30-I30</f>
        <v>0</v>
      </c>
      <c r="M30" s="23">
        <v>207682656</v>
      </c>
      <c r="N30" s="24">
        <f>M30-K30</f>
        <v>-2104344</v>
      </c>
      <c r="O30" s="23">
        <v>202682656</v>
      </c>
      <c r="P30" s="24">
        <f>O30-M30</f>
        <v>-5000000</v>
      </c>
      <c r="Q30" s="23">
        <v>25290668</v>
      </c>
      <c r="R30" s="24">
        <f>Q30-O30</f>
        <v>-177391988</v>
      </c>
      <c r="S30" s="69">
        <f>Q30-F30</f>
        <v>-115690332</v>
      </c>
    </row>
    <row r="31" spans="1:19" s="62" customFormat="1" ht="28.5" x14ac:dyDescent="0.2">
      <c r="A31" s="28" t="s">
        <v>29</v>
      </c>
      <c r="B31" s="29" t="s">
        <v>12</v>
      </c>
      <c r="C31" s="29" t="s">
        <v>9</v>
      </c>
      <c r="D31" s="13">
        <f t="shared" ref="D31:P31" si="18">SUM(D32:D38)</f>
        <v>0</v>
      </c>
      <c r="E31" s="13">
        <f t="shared" si="18"/>
        <v>0</v>
      </c>
      <c r="F31" s="37">
        <f>F33+F36+F37+F38</f>
        <v>896863900</v>
      </c>
      <c r="G31" s="37">
        <f>G33+G36+G37+G38</f>
        <v>934461150</v>
      </c>
      <c r="H31" s="38">
        <f t="shared" si="18"/>
        <v>37597250</v>
      </c>
      <c r="I31" s="37">
        <f t="shared" si="18"/>
        <v>978111650</v>
      </c>
      <c r="J31" s="38">
        <f t="shared" si="18"/>
        <v>43650500</v>
      </c>
      <c r="K31" s="44">
        <f t="shared" si="18"/>
        <v>978111650</v>
      </c>
      <c r="L31" s="38">
        <f t="shared" si="18"/>
        <v>0</v>
      </c>
      <c r="M31" s="37">
        <f t="shared" si="18"/>
        <v>1067378918</v>
      </c>
      <c r="N31" s="38">
        <f t="shared" si="18"/>
        <v>89267268</v>
      </c>
      <c r="O31" s="37">
        <f t="shared" si="18"/>
        <v>1151347379.0700002</v>
      </c>
      <c r="P31" s="38">
        <f t="shared" si="18"/>
        <v>83968461.070000052</v>
      </c>
      <c r="Q31" s="37">
        <f>SUM(Q32:Q38)</f>
        <v>1240756889.5800002</v>
      </c>
      <c r="R31" s="38">
        <f>SUM(R32:R38)</f>
        <v>89409510.509999976</v>
      </c>
      <c r="S31" s="70">
        <f>SUM(S32:S38)</f>
        <v>343892989.58000004</v>
      </c>
    </row>
    <row r="32" spans="1:19" ht="15" hidden="1" customHeight="1" x14ac:dyDescent="0.25">
      <c r="A32" s="19" t="s">
        <v>30</v>
      </c>
      <c r="B32" s="20" t="s">
        <v>12</v>
      </c>
      <c r="C32" s="20" t="s">
        <v>10</v>
      </c>
      <c r="D32" s="11"/>
      <c r="E32" s="7"/>
      <c r="F32" s="23"/>
      <c r="G32" s="23"/>
      <c r="H32" s="57"/>
      <c r="I32" s="23"/>
      <c r="J32" s="57"/>
      <c r="K32" s="25"/>
      <c r="L32" s="57"/>
      <c r="M32" s="25"/>
      <c r="N32" s="57"/>
      <c r="O32" s="23"/>
      <c r="P32" s="58"/>
      <c r="Q32" s="23"/>
      <c r="R32" s="58"/>
      <c r="S32" s="58"/>
    </row>
    <row r="33" spans="1:19" ht="15" x14ac:dyDescent="0.25">
      <c r="A33" s="19" t="s">
        <v>31</v>
      </c>
      <c r="B33" s="20" t="s">
        <v>12</v>
      </c>
      <c r="C33" s="20" t="s">
        <v>14</v>
      </c>
      <c r="D33" s="11"/>
      <c r="E33" s="7"/>
      <c r="F33" s="23">
        <v>91675400</v>
      </c>
      <c r="G33" s="23">
        <v>93472700</v>
      </c>
      <c r="H33" s="24">
        <f t="shared" ref="H33:H38" si="19">G33-F33</f>
        <v>1797300</v>
      </c>
      <c r="I33" s="23">
        <v>93472700</v>
      </c>
      <c r="J33" s="24">
        <f t="shared" ref="J33:J38" si="20">I33-G33</f>
        <v>0</v>
      </c>
      <c r="K33" s="23">
        <v>93472700</v>
      </c>
      <c r="L33" s="24">
        <f t="shared" ref="L33:L38" si="21">K33-I33</f>
        <v>0</v>
      </c>
      <c r="M33" s="25">
        <v>94967718</v>
      </c>
      <c r="N33" s="24">
        <f t="shared" ref="N33:N38" si="22">M33-K33</f>
        <v>1495018</v>
      </c>
      <c r="O33" s="23">
        <v>94967718</v>
      </c>
      <c r="P33" s="24">
        <f t="shared" ref="P33:P38" si="23">O33-M33</f>
        <v>0</v>
      </c>
      <c r="Q33" s="23">
        <v>95447189.760000005</v>
      </c>
      <c r="R33" s="24">
        <f t="shared" ref="R33:R38" si="24">Q33-O33</f>
        <v>479471.76000000536</v>
      </c>
      <c r="S33" s="69">
        <f t="shared" ref="S33:S38" si="25">Q33-F33</f>
        <v>3771789.7600000054</v>
      </c>
    </row>
    <row r="34" spans="1:19" ht="34.5" hidden="1" customHeight="1" x14ac:dyDescent="0.25">
      <c r="A34" s="19" t="s">
        <v>32</v>
      </c>
      <c r="B34" s="20" t="s">
        <v>12</v>
      </c>
      <c r="C34" s="20" t="s">
        <v>33</v>
      </c>
      <c r="D34" s="11"/>
      <c r="E34" s="7"/>
      <c r="F34" s="23"/>
      <c r="G34" s="23"/>
      <c r="H34" s="24">
        <f t="shared" si="19"/>
        <v>0</v>
      </c>
      <c r="I34" s="23"/>
      <c r="J34" s="24">
        <f t="shared" si="20"/>
        <v>0</v>
      </c>
      <c r="K34" s="25"/>
      <c r="L34" s="24">
        <f t="shared" si="21"/>
        <v>0</v>
      </c>
      <c r="M34" s="25"/>
      <c r="N34" s="24">
        <f t="shared" si="22"/>
        <v>0</v>
      </c>
      <c r="O34" s="23"/>
      <c r="P34" s="24">
        <f t="shared" si="23"/>
        <v>0</v>
      </c>
      <c r="Q34" s="23"/>
      <c r="R34" s="24">
        <f t="shared" si="24"/>
        <v>0</v>
      </c>
      <c r="S34" s="69">
        <f t="shared" si="25"/>
        <v>0</v>
      </c>
    </row>
    <row r="35" spans="1:19" ht="34.5" hidden="1" customHeight="1" x14ac:dyDescent="0.25">
      <c r="A35" s="19" t="s">
        <v>32</v>
      </c>
      <c r="B35" s="20" t="s">
        <v>12</v>
      </c>
      <c r="C35" s="20" t="s">
        <v>33</v>
      </c>
      <c r="D35" s="21"/>
      <c r="E35" s="22"/>
      <c r="F35" s="59"/>
      <c r="G35" s="59"/>
      <c r="H35" s="24">
        <f t="shared" si="19"/>
        <v>0</v>
      </c>
      <c r="I35" s="23"/>
      <c r="J35" s="24">
        <f t="shared" si="20"/>
        <v>0</v>
      </c>
      <c r="K35" s="25"/>
      <c r="L35" s="24">
        <f t="shared" si="21"/>
        <v>0</v>
      </c>
      <c r="M35" s="25"/>
      <c r="N35" s="24">
        <f t="shared" si="22"/>
        <v>0</v>
      </c>
      <c r="O35" s="23"/>
      <c r="P35" s="24">
        <f t="shared" si="23"/>
        <v>0</v>
      </c>
      <c r="Q35" s="23"/>
      <c r="R35" s="24">
        <f t="shared" si="24"/>
        <v>0</v>
      </c>
      <c r="S35" s="69">
        <f t="shared" si="25"/>
        <v>0</v>
      </c>
    </row>
    <row r="36" spans="1:19" ht="15" x14ac:dyDescent="0.25">
      <c r="A36" s="19" t="s">
        <v>34</v>
      </c>
      <c r="B36" s="20" t="s">
        <v>12</v>
      </c>
      <c r="C36" s="20" t="s">
        <v>21</v>
      </c>
      <c r="D36" s="11"/>
      <c r="E36" s="7"/>
      <c r="F36" s="23">
        <v>709335500</v>
      </c>
      <c r="G36" s="23">
        <v>740933030</v>
      </c>
      <c r="H36" s="24">
        <f t="shared" si="19"/>
        <v>31597530</v>
      </c>
      <c r="I36" s="23">
        <v>760933030</v>
      </c>
      <c r="J36" s="24">
        <f t="shared" si="20"/>
        <v>20000000</v>
      </c>
      <c r="K36" s="23">
        <v>760933030</v>
      </c>
      <c r="L36" s="24">
        <f t="shared" si="21"/>
        <v>0</v>
      </c>
      <c r="M36" s="23">
        <v>777785230</v>
      </c>
      <c r="N36" s="24">
        <f t="shared" si="22"/>
        <v>16852200</v>
      </c>
      <c r="O36" s="23">
        <v>790196191.07000005</v>
      </c>
      <c r="P36" s="24">
        <f t="shared" si="23"/>
        <v>12410961.070000052</v>
      </c>
      <c r="Q36" s="23">
        <v>814458891.10000002</v>
      </c>
      <c r="R36" s="24">
        <f t="shared" si="24"/>
        <v>24262700.029999971</v>
      </c>
      <c r="S36" s="69">
        <f t="shared" si="25"/>
        <v>105123391.10000002</v>
      </c>
    </row>
    <row r="37" spans="1:19" ht="15" x14ac:dyDescent="0.25">
      <c r="A37" s="19" t="s">
        <v>35</v>
      </c>
      <c r="B37" s="20" t="s">
        <v>12</v>
      </c>
      <c r="C37" s="20" t="s">
        <v>23</v>
      </c>
      <c r="D37" s="11"/>
      <c r="E37" s="7"/>
      <c r="F37" s="23">
        <v>31330000</v>
      </c>
      <c r="G37" s="23">
        <v>32070800</v>
      </c>
      <c r="H37" s="24">
        <f t="shared" si="19"/>
        <v>740800</v>
      </c>
      <c r="I37" s="23">
        <v>55297300</v>
      </c>
      <c r="J37" s="24">
        <f t="shared" si="20"/>
        <v>23226500</v>
      </c>
      <c r="K37" s="25">
        <v>55297300</v>
      </c>
      <c r="L37" s="24">
        <f t="shared" si="21"/>
        <v>0</v>
      </c>
      <c r="M37" s="25">
        <v>123354700</v>
      </c>
      <c r="N37" s="24">
        <f t="shared" si="22"/>
        <v>68057400</v>
      </c>
      <c r="O37" s="25">
        <v>194662200</v>
      </c>
      <c r="P37" s="24">
        <f t="shared" si="23"/>
        <v>71307500</v>
      </c>
      <c r="Q37" s="25">
        <v>261544388</v>
      </c>
      <c r="R37" s="24">
        <f t="shared" si="24"/>
        <v>66882188</v>
      </c>
      <c r="S37" s="69">
        <f t="shared" si="25"/>
        <v>230214388</v>
      </c>
    </row>
    <row r="38" spans="1:19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25">
        <v>64523000</v>
      </c>
      <c r="G38" s="23">
        <v>67984620</v>
      </c>
      <c r="H38" s="24">
        <f t="shared" si="19"/>
        <v>3461620</v>
      </c>
      <c r="I38" s="25">
        <v>68408620</v>
      </c>
      <c r="J38" s="24">
        <f t="shared" si="20"/>
        <v>424000</v>
      </c>
      <c r="K38" s="25">
        <v>68408620</v>
      </c>
      <c r="L38" s="24">
        <f t="shared" si="21"/>
        <v>0</v>
      </c>
      <c r="M38" s="25">
        <v>71271270</v>
      </c>
      <c r="N38" s="24">
        <f t="shared" si="22"/>
        <v>2862650</v>
      </c>
      <c r="O38" s="23">
        <v>71521270</v>
      </c>
      <c r="P38" s="24">
        <f t="shared" si="23"/>
        <v>250000</v>
      </c>
      <c r="Q38" s="23">
        <v>69306420.719999999</v>
      </c>
      <c r="R38" s="24">
        <f t="shared" si="24"/>
        <v>-2214849.2800000012</v>
      </c>
      <c r="S38" s="69">
        <f t="shared" si="25"/>
        <v>4783420.7199999988</v>
      </c>
    </row>
    <row r="39" spans="1:19" s="61" customFormat="1" ht="14.25" x14ac:dyDescent="0.2">
      <c r="A39" s="31" t="s">
        <v>38</v>
      </c>
      <c r="B39" s="32" t="s">
        <v>14</v>
      </c>
      <c r="C39" s="29" t="s">
        <v>9</v>
      </c>
      <c r="D39" s="6">
        <f t="shared" ref="D39:O39" si="26">SUM(D40:D48)</f>
        <v>0</v>
      </c>
      <c r="E39" s="6">
        <f t="shared" si="26"/>
        <v>0</v>
      </c>
      <c r="F39" s="37">
        <f t="shared" si="26"/>
        <v>18996790811.639999</v>
      </c>
      <c r="G39" s="37">
        <f t="shared" si="26"/>
        <v>21945531349.079998</v>
      </c>
      <c r="H39" s="38">
        <f>SUM(H40:H48)</f>
        <v>2948740537.4399986</v>
      </c>
      <c r="I39" s="37">
        <f t="shared" si="26"/>
        <v>23818360148.43</v>
      </c>
      <c r="J39" s="38">
        <f>SUM(J40:J48)</f>
        <v>1872828799.3500004</v>
      </c>
      <c r="K39" s="37">
        <f t="shared" si="26"/>
        <v>23832927724.379997</v>
      </c>
      <c r="L39" s="41">
        <f>SUM(L40:L48)</f>
        <v>14567575.949999809</v>
      </c>
      <c r="M39" s="37">
        <f t="shared" si="26"/>
        <v>24292846200.369999</v>
      </c>
      <c r="N39" s="38">
        <f>SUM(N40:N48)</f>
        <v>459918475.99000037</v>
      </c>
      <c r="O39" s="37">
        <f t="shared" si="26"/>
        <v>24753207367.579994</v>
      </c>
      <c r="P39" s="38">
        <f>SUM(P40:P48)</f>
        <v>460361167.20999944</v>
      </c>
      <c r="Q39" s="37">
        <f>SUM(Q40:Q48)</f>
        <v>24817267466.659996</v>
      </c>
      <c r="R39" s="38">
        <f>SUM(R40:R48)</f>
        <v>64060099.080000401</v>
      </c>
      <c r="S39" s="70">
        <f>SUM(S40:S48)</f>
        <v>5820476655.0199995</v>
      </c>
    </row>
    <row r="40" spans="1:19" ht="15" x14ac:dyDescent="0.25">
      <c r="A40" s="19" t="s">
        <v>39</v>
      </c>
      <c r="B40" s="20" t="s">
        <v>14</v>
      </c>
      <c r="C40" s="20" t="s">
        <v>8</v>
      </c>
      <c r="D40" s="12"/>
      <c r="E40" s="7"/>
      <c r="F40" s="40">
        <v>393261000.47000003</v>
      </c>
      <c r="G40" s="40">
        <v>456493440.51999998</v>
      </c>
      <c r="H40" s="24">
        <f>G40-F40</f>
        <v>63232440.049999952</v>
      </c>
      <c r="I40" s="40">
        <v>699561140.19000006</v>
      </c>
      <c r="J40" s="24">
        <f>I40-G40</f>
        <v>243067699.67000008</v>
      </c>
      <c r="K40" s="40">
        <v>699561140.19000006</v>
      </c>
      <c r="L40" s="24">
        <f>K40-I40</f>
        <v>0</v>
      </c>
      <c r="M40" s="40">
        <v>724972344.47000003</v>
      </c>
      <c r="N40" s="24">
        <f>M40-K40</f>
        <v>25411204.279999971</v>
      </c>
      <c r="O40" s="23">
        <v>632940546.87</v>
      </c>
      <c r="P40" s="24">
        <f>O40-M40</f>
        <v>-92031797.600000024</v>
      </c>
      <c r="Q40" s="23">
        <v>532599757.87</v>
      </c>
      <c r="R40" s="24">
        <f>Q40-O40</f>
        <v>-100340789</v>
      </c>
      <c r="S40" s="69">
        <f t="shared" ref="S40:S47" si="27">Q40-F40</f>
        <v>139338757.39999998</v>
      </c>
    </row>
    <row r="41" spans="1:19" ht="15" x14ac:dyDescent="0.25">
      <c r="A41" s="19" t="s">
        <v>40</v>
      </c>
      <c r="B41" s="20" t="s">
        <v>14</v>
      </c>
      <c r="C41" s="20" t="s">
        <v>14</v>
      </c>
      <c r="D41" s="11"/>
      <c r="E41" s="7"/>
      <c r="F41" s="23">
        <v>4572000</v>
      </c>
      <c r="G41" s="23">
        <v>4572000</v>
      </c>
      <c r="H41" s="24">
        <f t="shared" ref="H41:H48" si="28">G41-F41</f>
        <v>0</v>
      </c>
      <c r="I41" s="23">
        <v>4572000</v>
      </c>
      <c r="J41" s="24">
        <f t="shared" ref="J41:J48" si="29">I41-G41</f>
        <v>0</v>
      </c>
      <c r="K41" s="23">
        <v>4572000</v>
      </c>
      <c r="L41" s="24">
        <f t="shared" ref="L41:L48" si="30">K41-I41</f>
        <v>0</v>
      </c>
      <c r="M41" s="23">
        <v>4572000</v>
      </c>
      <c r="N41" s="24">
        <f t="shared" ref="N41:N48" si="31">M41-K41</f>
        <v>0</v>
      </c>
      <c r="O41" s="23">
        <v>4566065</v>
      </c>
      <c r="P41" s="24">
        <f t="shared" ref="P41:P48" si="32">O41-M41</f>
        <v>-5935</v>
      </c>
      <c r="Q41" s="23">
        <v>4566065</v>
      </c>
      <c r="R41" s="24">
        <f t="shared" ref="R41:R48" si="33">Q41-O41</f>
        <v>0</v>
      </c>
      <c r="S41" s="69">
        <f t="shared" si="27"/>
        <v>-5935</v>
      </c>
    </row>
    <row r="42" spans="1:19" ht="15" x14ac:dyDescent="0.25">
      <c r="A42" s="19" t="s">
        <v>41</v>
      </c>
      <c r="B42" s="20" t="s">
        <v>14</v>
      </c>
      <c r="C42" s="20" t="s">
        <v>16</v>
      </c>
      <c r="D42" s="11"/>
      <c r="E42" s="7"/>
      <c r="F42" s="23">
        <v>3162092167.3800001</v>
      </c>
      <c r="G42" s="23">
        <v>3204714751.5</v>
      </c>
      <c r="H42" s="24">
        <f t="shared" si="28"/>
        <v>42622584.119999886</v>
      </c>
      <c r="I42" s="23">
        <v>3656362121.27</v>
      </c>
      <c r="J42" s="24">
        <f t="shared" si="29"/>
        <v>451647369.76999998</v>
      </c>
      <c r="K42" s="25">
        <v>3656362121.27</v>
      </c>
      <c r="L42" s="24">
        <f t="shared" si="30"/>
        <v>0</v>
      </c>
      <c r="M42" s="25">
        <v>3686110005.27</v>
      </c>
      <c r="N42" s="24">
        <f t="shared" si="31"/>
        <v>29747884</v>
      </c>
      <c r="O42" s="23">
        <v>3741023909.9299998</v>
      </c>
      <c r="P42" s="24">
        <f t="shared" si="32"/>
        <v>54913904.659999847</v>
      </c>
      <c r="Q42" s="23">
        <v>3952888343.7800002</v>
      </c>
      <c r="R42" s="24">
        <f t="shared" si="33"/>
        <v>211864433.85000038</v>
      </c>
      <c r="S42" s="69">
        <f t="shared" si="27"/>
        <v>790796176.4000001</v>
      </c>
    </row>
    <row r="43" spans="1:19" ht="15" x14ac:dyDescent="0.25">
      <c r="A43" s="19" t="s">
        <v>91</v>
      </c>
      <c r="B43" s="20" t="s">
        <v>14</v>
      </c>
      <c r="C43" s="20" t="s">
        <v>18</v>
      </c>
      <c r="D43" s="11"/>
      <c r="E43" s="7"/>
      <c r="F43" s="23">
        <v>198987900</v>
      </c>
      <c r="G43" s="23">
        <v>202058020</v>
      </c>
      <c r="H43" s="24">
        <f t="shared" si="28"/>
        <v>3070120</v>
      </c>
      <c r="I43" s="23">
        <v>199633916.94</v>
      </c>
      <c r="J43" s="24">
        <f t="shared" si="29"/>
        <v>-2424103.0600000024</v>
      </c>
      <c r="K43" s="25">
        <v>199633916.94</v>
      </c>
      <c r="L43" s="24">
        <f t="shared" si="30"/>
        <v>0</v>
      </c>
      <c r="M43" s="25">
        <v>238374616.94</v>
      </c>
      <c r="N43" s="24">
        <f t="shared" si="31"/>
        <v>38740700</v>
      </c>
      <c r="O43" s="25">
        <v>238374616.94</v>
      </c>
      <c r="P43" s="24">
        <f t="shared" si="32"/>
        <v>0</v>
      </c>
      <c r="Q43" s="25">
        <v>241518615.84999999</v>
      </c>
      <c r="R43" s="24">
        <f t="shared" si="33"/>
        <v>3143998.9099999964</v>
      </c>
      <c r="S43" s="69">
        <f t="shared" si="27"/>
        <v>42530715.849999994</v>
      </c>
    </row>
    <row r="44" spans="1:19" ht="15" x14ac:dyDescent="0.25">
      <c r="A44" s="19" t="s">
        <v>42</v>
      </c>
      <c r="B44" s="20" t="s">
        <v>14</v>
      </c>
      <c r="C44" s="20" t="s">
        <v>20</v>
      </c>
      <c r="D44" s="11"/>
      <c r="E44" s="7"/>
      <c r="F44" s="23">
        <v>467435700</v>
      </c>
      <c r="G44" s="23">
        <v>481478509</v>
      </c>
      <c r="H44" s="24">
        <f t="shared" si="28"/>
        <v>14042809</v>
      </c>
      <c r="I44" s="23">
        <v>483478509</v>
      </c>
      <c r="J44" s="24">
        <f t="shared" si="29"/>
        <v>2000000</v>
      </c>
      <c r="K44" s="25">
        <v>483478509</v>
      </c>
      <c r="L44" s="24">
        <f t="shared" si="30"/>
        <v>0</v>
      </c>
      <c r="M44" s="25">
        <v>483617709</v>
      </c>
      <c r="N44" s="24">
        <f t="shared" si="31"/>
        <v>139200</v>
      </c>
      <c r="O44" s="23">
        <v>483617709</v>
      </c>
      <c r="P44" s="24">
        <f t="shared" si="32"/>
        <v>0</v>
      </c>
      <c r="Q44" s="23">
        <v>485053237</v>
      </c>
      <c r="R44" s="24">
        <f t="shared" si="33"/>
        <v>1435528</v>
      </c>
      <c r="S44" s="69">
        <f t="shared" si="27"/>
        <v>17617537</v>
      </c>
    </row>
    <row r="45" spans="1:19" ht="15" x14ac:dyDescent="0.25">
      <c r="A45" s="19" t="s">
        <v>43</v>
      </c>
      <c r="B45" s="20" t="s">
        <v>14</v>
      </c>
      <c r="C45" s="20" t="s">
        <v>44</v>
      </c>
      <c r="D45" s="11"/>
      <c r="E45" s="7"/>
      <c r="F45" s="23">
        <v>986703292</v>
      </c>
      <c r="G45" s="23">
        <v>1167181576.5999999</v>
      </c>
      <c r="H45" s="24">
        <f t="shared" si="28"/>
        <v>180478284.5999999</v>
      </c>
      <c r="I45" s="23">
        <v>1178416405.8800001</v>
      </c>
      <c r="J45" s="24">
        <f t="shared" si="29"/>
        <v>11234829.28000021</v>
      </c>
      <c r="K45" s="25">
        <v>1178416405.8800001</v>
      </c>
      <c r="L45" s="24">
        <f t="shared" si="30"/>
        <v>0</v>
      </c>
      <c r="M45" s="25">
        <v>1169216405.8800001</v>
      </c>
      <c r="N45" s="24">
        <f t="shared" si="31"/>
        <v>-9200000</v>
      </c>
      <c r="O45" s="23">
        <v>1169158905.8800001</v>
      </c>
      <c r="P45" s="24">
        <f t="shared" si="32"/>
        <v>-57500</v>
      </c>
      <c r="Q45" s="23">
        <v>1067007284.11</v>
      </c>
      <c r="R45" s="24">
        <f t="shared" si="33"/>
        <v>-102151621.7700001</v>
      </c>
      <c r="S45" s="69">
        <f t="shared" si="27"/>
        <v>80303992.110000014</v>
      </c>
    </row>
    <row r="46" spans="1:19" ht="15" x14ac:dyDescent="0.25">
      <c r="A46" s="19" t="s">
        <v>45</v>
      </c>
      <c r="B46" s="20" t="s">
        <v>14</v>
      </c>
      <c r="C46" s="20" t="s">
        <v>33</v>
      </c>
      <c r="D46" s="11"/>
      <c r="E46" s="7"/>
      <c r="F46" s="23">
        <v>10290777263.5</v>
      </c>
      <c r="G46" s="23">
        <v>12504576805.049999</v>
      </c>
      <c r="H46" s="24">
        <f t="shared" si="28"/>
        <v>2213799541.5499992</v>
      </c>
      <c r="I46" s="23">
        <v>12504576805.049999</v>
      </c>
      <c r="J46" s="24">
        <f t="shared" si="29"/>
        <v>0</v>
      </c>
      <c r="K46" s="23">
        <v>12504576805.049999</v>
      </c>
      <c r="L46" s="24">
        <f t="shared" si="30"/>
        <v>0</v>
      </c>
      <c r="M46" s="23">
        <v>12706140383.049999</v>
      </c>
      <c r="N46" s="24">
        <f t="shared" si="31"/>
        <v>201563578</v>
      </c>
      <c r="O46" s="23">
        <v>13119349883.049999</v>
      </c>
      <c r="P46" s="24">
        <f t="shared" si="32"/>
        <v>413209500</v>
      </c>
      <c r="Q46" s="23">
        <v>13376003703.049999</v>
      </c>
      <c r="R46" s="24">
        <f t="shared" si="33"/>
        <v>256653820</v>
      </c>
      <c r="S46" s="69">
        <f t="shared" si="27"/>
        <v>3085226439.5499992</v>
      </c>
    </row>
    <row r="47" spans="1:19" ht="15" x14ac:dyDescent="0.25">
      <c r="A47" s="19" t="s">
        <v>114</v>
      </c>
      <c r="B47" s="20" t="s">
        <v>14</v>
      </c>
      <c r="C47" s="20" t="s">
        <v>21</v>
      </c>
      <c r="D47" s="11"/>
      <c r="E47" s="7"/>
      <c r="F47" s="23">
        <v>560080400</v>
      </c>
      <c r="G47" s="23">
        <v>586018533</v>
      </c>
      <c r="H47" s="24">
        <f t="shared" si="28"/>
        <v>25938133</v>
      </c>
      <c r="I47" s="23">
        <v>628725852.39999998</v>
      </c>
      <c r="J47" s="24">
        <f t="shared" si="29"/>
        <v>42707319.399999976</v>
      </c>
      <c r="K47" s="23">
        <v>628725852.39999998</v>
      </c>
      <c r="L47" s="24">
        <f t="shared" si="30"/>
        <v>0</v>
      </c>
      <c r="M47" s="23">
        <v>683932822.25999999</v>
      </c>
      <c r="N47" s="24">
        <f t="shared" si="31"/>
        <v>55206969.860000014</v>
      </c>
      <c r="O47" s="23">
        <v>684482822.25999999</v>
      </c>
      <c r="P47" s="24">
        <f t="shared" si="32"/>
        <v>550000</v>
      </c>
      <c r="Q47" s="23">
        <v>677468072.25999999</v>
      </c>
      <c r="R47" s="24">
        <f t="shared" si="33"/>
        <v>-7014750</v>
      </c>
      <c r="S47" s="69">
        <f t="shared" si="27"/>
        <v>117387672.25999999</v>
      </c>
    </row>
    <row r="48" spans="1:19" s="10" customFormat="1" ht="15" x14ac:dyDescent="0.2">
      <c r="A48" s="19" t="s">
        <v>46</v>
      </c>
      <c r="B48" s="20" t="s">
        <v>14</v>
      </c>
      <c r="C48" s="20" t="s">
        <v>47</v>
      </c>
      <c r="D48" s="8"/>
      <c r="E48" s="9"/>
      <c r="F48" s="23">
        <v>2932881088.29</v>
      </c>
      <c r="G48" s="23">
        <v>3338437713.4099998</v>
      </c>
      <c r="H48" s="24">
        <f t="shared" si="28"/>
        <v>405556625.11999989</v>
      </c>
      <c r="I48" s="23">
        <v>4463033397.6999998</v>
      </c>
      <c r="J48" s="24">
        <f t="shared" si="29"/>
        <v>1124595684.29</v>
      </c>
      <c r="K48" s="25">
        <v>4477600973.6499996</v>
      </c>
      <c r="L48" s="24">
        <f t="shared" si="30"/>
        <v>14567575.949999809</v>
      </c>
      <c r="M48" s="25">
        <v>4595909913.5</v>
      </c>
      <c r="N48" s="24">
        <f t="shared" si="31"/>
        <v>118308939.85000038</v>
      </c>
      <c r="O48" s="23">
        <v>4679692908.6499996</v>
      </c>
      <c r="P48" s="24">
        <f t="shared" si="32"/>
        <v>83782995.149999619</v>
      </c>
      <c r="Q48" s="23">
        <v>4480162387.7399998</v>
      </c>
      <c r="R48" s="24">
        <f t="shared" si="33"/>
        <v>-199530520.90999985</v>
      </c>
      <c r="S48" s="69">
        <f>Q48-F48</f>
        <v>1547281299.4499998</v>
      </c>
    </row>
    <row r="49" spans="1:19" s="61" customFormat="1" ht="14.25" x14ac:dyDescent="0.2">
      <c r="A49" s="28" t="s">
        <v>48</v>
      </c>
      <c r="B49" s="29" t="s">
        <v>16</v>
      </c>
      <c r="C49" s="29" t="s">
        <v>9</v>
      </c>
      <c r="D49" s="6">
        <f t="shared" ref="D49:O49" si="34">SUM(D50:D53)</f>
        <v>0</v>
      </c>
      <c r="E49" s="6">
        <f t="shared" si="34"/>
        <v>0</v>
      </c>
      <c r="F49" s="37">
        <f t="shared" si="34"/>
        <v>3929387316.1999998</v>
      </c>
      <c r="G49" s="37">
        <f t="shared" si="34"/>
        <v>4836609750.5900002</v>
      </c>
      <c r="H49" s="38">
        <f>SUM(H50:H53)</f>
        <v>907222434.38999999</v>
      </c>
      <c r="I49" s="37">
        <f>SUM(I50:I53)</f>
        <v>6252781158.3100004</v>
      </c>
      <c r="J49" s="38">
        <f>SUM(J50:J53)</f>
        <v>1416171407.72</v>
      </c>
      <c r="K49" s="37">
        <f t="shared" si="34"/>
        <v>6252781158.3100004</v>
      </c>
      <c r="L49" s="38">
        <f>SUM(L50:L53)</f>
        <v>0</v>
      </c>
      <c r="M49" s="37">
        <f t="shared" si="34"/>
        <v>6787886693.9100008</v>
      </c>
      <c r="N49" s="38">
        <f>SUM(N50:N53)</f>
        <v>535105535.59999996</v>
      </c>
      <c r="O49" s="37">
        <f t="shared" si="34"/>
        <v>6839475278.0200005</v>
      </c>
      <c r="P49" s="38">
        <f>SUM(P50:P53)</f>
        <v>51588584.109999955</v>
      </c>
      <c r="Q49" s="37">
        <f>SUM(Q50:Q53)</f>
        <v>6628181228.1000004</v>
      </c>
      <c r="R49" s="38">
        <f>SUM(R50:R53)</f>
        <v>-211294049.91999984</v>
      </c>
      <c r="S49" s="70">
        <f>SUM(S50:S53)</f>
        <v>2698793911.9000001</v>
      </c>
    </row>
    <row r="50" spans="1:19" ht="15" x14ac:dyDescent="0.25">
      <c r="A50" s="19" t="s">
        <v>49</v>
      </c>
      <c r="B50" s="20" t="s">
        <v>16</v>
      </c>
      <c r="C50" s="20" t="s">
        <v>8</v>
      </c>
      <c r="D50" s="7"/>
      <c r="E50" s="7"/>
      <c r="F50" s="39">
        <v>1608136563.3199999</v>
      </c>
      <c r="G50" s="39">
        <v>1990325959.6400001</v>
      </c>
      <c r="H50" s="24">
        <f>G50-F50</f>
        <v>382189396.32000017</v>
      </c>
      <c r="I50" s="39">
        <v>3278374160.21</v>
      </c>
      <c r="J50" s="24">
        <f>I50-G50</f>
        <v>1288048200.5699999</v>
      </c>
      <c r="K50" s="42">
        <v>3278374160.21</v>
      </c>
      <c r="L50" s="24">
        <f>K50-I50</f>
        <v>0</v>
      </c>
      <c r="M50" s="42">
        <v>3278374160.21</v>
      </c>
      <c r="N50" s="24">
        <f>M50-K50</f>
        <v>0</v>
      </c>
      <c r="O50" s="23">
        <v>3280903151.4099998</v>
      </c>
      <c r="P50" s="24">
        <f>O50-M50</f>
        <v>2528991.1999998093</v>
      </c>
      <c r="Q50" s="23">
        <v>3093617766.8800001</v>
      </c>
      <c r="R50" s="24">
        <f>Q50-O50</f>
        <v>-187285384.52999973</v>
      </c>
      <c r="S50" s="69">
        <f>Q50-F50</f>
        <v>1485481203.5600002</v>
      </c>
    </row>
    <row r="51" spans="1:19" ht="15" x14ac:dyDescent="0.25">
      <c r="A51" s="19" t="s">
        <v>50</v>
      </c>
      <c r="B51" s="20" t="s">
        <v>16</v>
      </c>
      <c r="C51" s="20" t="s">
        <v>10</v>
      </c>
      <c r="D51" s="12"/>
      <c r="E51" s="7"/>
      <c r="F51" s="40">
        <v>1110656262</v>
      </c>
      <c r="G51" s="40">
        <v>1481290952.5699999</v>
      </c>
      <c r="H51" s="24">
        <f>G51-F51</f>
        <v>370634690.56999993</v>
      </c>
      <c r="I51" s="40">
        <v>1587445370.6700001</v>
      </c>
      <c r="J51" s="24">
        <f>I51-G51</f>
        <v>106154418.10000014</v>
      </c>
      <c r="K51" s="43">
        <v>1587445370.6700001</v>
      </c>
      <c r="L51" s="24">
        <f>K51-I51</f>
        <v>0</v>
      </c>
      <c r="M51" s="40">
        <v>2100760878.1800001</v>
      </c>
      <c r="N51" s="24">
        <f>M51-K51</f>
        <v>513315507.50999999</v>
      </c>
      <c r="O51" s="40">
        <v>2100760878.1800001</v>
      </c>
      <c r="P51" s="24">
        <f>O51-M51</f>
        <v>0</v>
      </c>
      <c r="Q51" s="40">
        <v>2043162913.8900001</v>
      </c>
      <c r="R51" s="24">
        <f>Q51-O51</f>
        <v>-57597964.289999962</v>
      </c>
      <c r="S51" s="69">
        <f>Q51-F51</f>
        <v>932506651.8900001</v>
      </c>
    </row>
    <row r="52" spans="1:19" ht="15" x14ac:dyDescent="0.25">
      <c r="A52" s="19" t="s">
        <v>51</v>
      </c>
      <c r="B52" s="20" t="s">
        <v>16</v>
      </c>
      <c r="C52" s="20" t="s">
        <v>12</v>
      </c>
      <c r="D52" s="11"/>
      <c r="E52" s="7"/>
      <c r="F52" s="23">
        <v>889756862.46000004</v>
      </c>
      <c r="G52" s="23">
        <v>1035689864.6799999</v>
      </c>
      <c r="H52" s="24">
        <f>G52-F52</f>
        <v>145933002.21999991</v>
      </c>
      <c r="I52" s="23">
        <v>1035689864.6799999</v>
      </c>
      <c r="J52" s="24">
        <f>I52-G52</f>
        <v>0</v>
      </c>
      <c r="K52" s="25">
        <v>1035689864.6799999</v>
      </c>
      <c r="L52" s="24">
        <f>K52-I52</f>
        <v>0</v>
      </c>
      <c r="M52" s="25">
        <v>1035689864.6799999</v>
      </c>
      <c r="N52" s="24">
        <f>M52-K52</f>
        <v>0</v>
      </c>
      <c r="O52" s="25">
        <v>1078312430.4400001</v>
      </c>
      <c r="P52" s="24">
        <f>O52-M52</f>
        <v>42622565.76000011</v>
      </c>
      <c r="Q52" s="25">
        <v>1110895588.3299999</v>
      </c>
      <c r="R52" s="24">
        <f>Q52-O52</f>
        <v>32583157.889999866</v>
      </c>
      <c r="S52" s="69">
        <f>Q52-F52</f>
        <v>221138725.86999989</v>
      </c>
    </row>
    <row r="53" spans="1:19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23">
        <v>320837628.42000002</v>
      </c>
      <c r="G53" s="23">
        <v>329302973.69999999</v>
      </c>
      <c r="H53" s="24">
        <f>G53-F53</f>
        <v>8465345.2799999714</v>
      </c>
      <c r="I53" s="23">
        <v>351271762.75</v>
      </c>
      <c r="J53" s="24">
        <f>I53-G53</f>
        <v>21968789.050000012</v>
      </c>
      <c r="K53" s="25">
        <v>351271762.75</v>
      </c>
      <c r="L53" s="24">
        <f>K53-I53</f>
        <v>0</v>
      </c>
      <c r="M53" s="25">
        <v>373061790.83999997</v>
      </c>
      <c r="N53" s="24">
        <f>M53-K53</f>
        <v>21790028.089999974</v>
      </c>
      <c r="O53" s="23">
        <v>379498817.99000001</v>
      </c>
      <c r="P53" s="24">
        <f>O53-M53</f>
        <v>6437027.1500000358</v>
      </c>
      <c r="Q53" s="23">
        <v>380504959</v>
      </c>
      <c r="R53" s="24">
        <f>Q53-O53</f>
        <v>1006141.0099999905</v>
      </c>
      <c r="S53" s="69">
        <f>Q53-F53</f>
        <v>59667330.579999983</v>
      </c>
    </row>
    <row r="54" spans="1:19" s="61" customFormat="1" ht="14.25" x14ac:dyDescent="0.2">
      <c r="A54" s="28" t="s">
        <v>53</v>
      </c>
      <c r="B54" s="29" t="s">
        <v>18</v>
      </c>
      <c r="C54" s="29" t="s">
        <v>9</v>
      </c>
      <c r="D54" s="6">
        <f t="shared" ref="D54:O54" si="35">SUM(D55:D56)</f>
        <v>0</v>
      </c>
      <c r="E54" s="6">
        <f t="shared" si="35"/>
        <v>0</v>
      </c>
      <c r="F54" s="37">
        <f t="shared" si="35"/>
        <v>122355020</v>
      </c>
      <c r="G54" s="37">
        <f t="shared" si="35"/>
        <v>125281642</v>
      </c>
      <c r="H54" s="38">
        <f>SUM(H55:H56)</f>
        <v>2926622</v>
      </c>
      <c r="I54" s="37">
        <f t="shared" si="35"/>
        <v>129637478.40000001</v>
      </c>
      <c r="J54" s="38">
        <f>SUM(J55:J56)</f>
        <v>4355836.4000000022</v>
      </c>
      <c r="K54" s="37">
        <f t="shared" si="35"/>
        <v>129637478.40000001</v>
      </c>
      <c r="L54" s="38">
        <f>SUM(L55:L56)</f>
        <v>0</v>
      </c>
      <c r="M54" s="37">
        <f t="shared" si="35"/>
        <v>625387478.39999998</v>
      </c>
      <c r="N54" s="38">
        <f>SUM(N55:N56)</f>
        <v>495749999.99999994</v>
      </c>
      <c r="O54" s="37">
        <f t="shared" si="35"/>
        <v>625393413.39999998</v>
      </c>
      <c r="P54" s="38">
        <f>SUM(P55:P56)</f>
        <v>5935</v>
      </c>
      <c r="Q54" s="37">
        <f>SUM(Q55:Q56)</f>
        <v>635439329.49000001</v>
      </c>
      <c r="R54" s="38">
        <f>SUM(R55:R56)</f>
        <v>10045916.090000033</v>
      </c>
      <c r="S54" s="70">
        <f>SUM(S55:S56)</f>
        <v>513084309.48999995</v>
      </c>
    </row>
    <row r="55" spans="1:19" ht="15" x14ac:dyDescent="0.25">
      <c r="A55" s="19" t="s">
        <v>92</v>
      </c>
      <c r="B55" s="20" t="s">
        <v>18</v>
      </c>
      <c r="C55" s="20" t="s">
        <v>10</v>
      </c>
      <c r="D55" s="7"/>
      <c r="E55" s="7"/>
      <c r="F55" s="39">
        <v>1000000</v>
      </c>
      <c r="G55" s="39">
        <v>1000000</v>
      </c>
      <c r="H55" s="24">
        <f>G55-F55</f>
        <v>0</v>
      </c>
      <c r="I55" s="39">
        <v>8157733.3399999999</v>
      </c>
      <c r="J55" s="24">
        <f>I55-G55</f>
        <v>7157733.3399999999</v>
      </c>
      <c r="K55" s="39">
        <v>8157733.3399999999</v>
      </c>
      <c r="L55" s="24">
        <f>K55-I55</f>
        <v>0</v>
      </c>
      <c r="M55" s="39">
        <v>8157733.3399999999</v>
      </c>
      <c r="N55" s="24">
        <f>M55-K55</f>
        <v>0</v>
      </c>
      <c r="O55" s="39">
        <v>8111753.3399999999</v>
      </c>
      <c r="P55" s="24">
        <f>O55-M55</f>
        <v>-45980</v>
      </c>
      <c r="Q55" s="39">
        <v>8061753.3399999999</v>
      </c>
      <c r="R55" s="24">
        <f>Q55-O55</f>
        <v>-50000</v>
      </c>
      <c r="S55" s="69">
        <f>Q55-F55</f>
        <v>7061753.3399999999</v>
      </c>
    </row>
    <row r="56" spans="1:19" ht="15" x14ac:dyDescent="0.25">
      <c r="A56" s="19" t="s">
        <v>54</v>
      </c>
      <c r="B56" s="20" t="s">
        <v>18</v>
      </c>
      <c r="C56" s="20" t="s">
        <v>16</v>
      </c>
      <c r="D56" s="11"/>
      <c r="E56" s="7"/>
      <c r="F56" s="23">
        <v>121355020</v>
      </c>
      <c r="G56" s="23">
        <v>124281642</v>
      </c>
      <c r="H56" s="24">
        <f>G56-F56</f>
        <v>2926622</v>
      </c>
      <c r="I56" s="23">
        <v>121479745.06</v>
      </c>
      <c r="J56" s="24">
        <f>I56-G56</f>
        <v>-2801896.9399999976</v>
      </c>
      <c r="K56" s="25">
        <v>121479745.06</v>
      </c>
      <c r="L56" s="24">
        <f>K56-I56</f>
        <v>0</v>
      </c>
      <c r="M56" s="25">
        <v>617229745.05999994</v>
      </c>
      <c r="N56" s="24">
        <f>M56-K56</f>
        <v>495749999.99999994</v>
      </c>
      <c r="O56" s="23">
        <v>617281660.05999994</v>
      </c>
      <c r="P56" s="24">
        <f>O56-M56</f>
        <v>51915</v>
      </c>
      <c r="Q56" s="23">
        <v>627377576.14999998</v>
      </c>
      <c r="R56" s="24">
        <f>Q56-O56</f>
        <v>10095916.090000033</v>
      </c>
      <c r="S56" s="69">
        <f>Q56-F56</f>
        <v>506022556.14999998</v>
      </c>
    </row>
    <row r="57" spans="1:19" s="61" customFormat="1" ht="14.25" x14ac:dyDescent="0.2">
      <c r="A57" s="28" t="s">
        <v>55</v>
      </c>
      <c r="B57" s="29" t="s">
        <v>20</v>
      </c>
      <c r="C57" s="29" t="s">
        <v>9</v>
      </c>
      <c r="D57" s="6">
        <f t="shared" ref="D57:K57" si="36">SUM(D58:D64)</f>
        <v>0</v>
      </c>
      <c r="E57" s="6">
        <f t="shared" si="36"/>
        <v>0</v>
      </c>
      <c r="F57" s="37">
        <f t="shared" si="36"/>
        <v>17281886798.77</v>
      </c>
      <c r="G57" s="37">
        <f t="shared" si="36"/>
        <v>18096218312.539997</v>
      </c>
      <c r="H57" s="38">
        <f>SUM(H58:H64)</f>
        <v>814331513.76999986</v>
      </c>
      <c r="I57" s="37">
        <f t="shared" si="36"/>
        <v>18240814036.629997</v>
      </c>
      <c r="J57" s="38">
        <f>SUM(J58:J64)</f>
        <v>144595724.08999982</v>
      </c>
      <c r="K57" s="37">
        <f t="shared" si="36"/>
        <v>18240814036.629997</v>
      </c>
      <c r="L57" s="38">
        <f t="shared" ref="L57:S57" si="37">SUM(L58:L64)</f>
        <v>0</v>
      </c>
      <c r="M57" s="44">
        <f t="shared" si="37"/>
        <v>18658502168.91</v>
      </c>
      <c r="N57" s="38">
        <f t="shared" si="37"/>
        <v>417688132.27999985</v>
      </c>
      <c r="O57" s="37">
        <f t="shared" si="37"/>
        <v>19053260870.66</v>
      </c>
      <c r="P57" s="38">
        <f t="shared" si="37"/>
        <v>394758701.74999958</v>
      </c>
      <c r="Q57" s="37">
        <f t="shared" si="37"/>
        <v>19078159334.150002</v>
      </c>
      <c r="R57" s="38">
        <f t="shared" si="37"/>
        <v>24898463.489999533</v>
      </c>
      <c r="S57" s="70">
        <f t="shared" si="37"/>
        <v>1796272535.3799987</v>
      </c>
    </row>
    <row r="58" spans="1:19" ht="15" x14ac:dyDescent="0.25">
      <c r="A58" s="19" t="s">
        <v>56</v>
      </c>
      <c r="B58" s="20" t="s">
        <v>20</v>
      </c>
      <c r="C58" s="20" t="s">
        <v>8</v>
      </c>
      <c r="D58" s="12"/>
      <c r="E58" s="7"/>
      <c r="F58" s="40">
        <v>3956448244.4899998</v>
      </c>
      <c r="G58" s="40">
        <v>4027240089.4099998</v>
      </c>
      <c r="H58" s="24">
        <f>G58-F58</f>
        <v>70791844.920000076</v>
      </c>
      <c r="I58" s="40">
        <v>4027240089.4099998</v>
      </c>
      <c r="J58" s="24">
        <f>I58-G58</f>
        <v>0</v>
      </c>
      <c r="K58" s="43">
        <v>4027240089.4099998</v>
      </c>
      <c r="L58" s="24">
        <f>K58-I58</f>
        <v>0</v>
      </c>
      <c r="M58" s="40">
        <v>4114956397.1300001</v>
      </c>
      <c r="N58" s="24">
        <f>M58-K58</f>
        <v>87716307.720000267</v>
      </c>
      <c r="O58" s="23">
        <v>4161654970.4699998</v>
      </c>
      <c r="P58" s="24">
        <f>O58-M58</f>
        <v>46698573.339999676</v>
      </c>
      <c r="Q58" s="23">
        <v>4163089775.4699998</v>
      </c>
      <c r="R58" s="24">
        <f>Q58-O58</f>
        <v>1434805</v>
      </c>
      <c r="S58" s="69">
        <f t="shared" ref="S58:S64" si="38">Q58-F58</f>
        <v>206641530.98000002</v>
      </c>
    </row>
    <row r="59" spans="1:19" ht="15" x14ac:dyDescent="0.25">
      <c r="A59" s="19" t="s">
        <v>57</v>
      </c>
      <c r="B59" s="20" t="s">
        <v>20</v>
      </c>
      <c r="C59" s="20" t="s">
        <v>10</v>
      </c>
      <c r="D59" s="11"/>
      <c r="E59" s="7"/>
      <c r="F59" s="23">
        <v>9801117594.6000004</v>
      </c>
      <c r="G59" s="23">
        <v>10378075370.43</v>
      </c>
      <c r="H59" s="24">
        <f t="shared" ref="H59:H64" si="39">G59-F59</f>
        <v>576957775.82999992</v>
      </c>
      <c r="I59" s="23">
        <v>10505194074.34</v>
      </c>
      <c r="J59" s="24">
        <f t="shared" ref="J59:J64" si="40">I59-G59</f>
        <v>127118703.90999985</v>
      </c>
      <c r="K59" s="25">
        <v>10505194074.34</v>
      </c>
      <c r="L59" s="24">
        <f t="shared" ref="L59:L64" si="41">K59-I59</f>
        <v>0</v>
      </c>
      <c r="M59" s="25">
        <v>10619322243.57</v>
      </c>
      <c r="N59" s="24">
        <f t="shared" ref="N59:N64" si="42">M59-K59</f>
        <v>114128169.22999954</v>
      </c>
      <c r="O59" s="23">
        <v>10867259229.809999</v>
      </c>
      <c r="P59" s="24">
        <f t="shared" ref="P59:P64" si="43">O59-M59</f>
        <v>247936986.23999977</v>
      </c>
      <c r="Q59" s="23">
        <v>10889200938.379999</v>
      </c>
      <c r="R59" s="24">
        <f t="shared" ref="R59:R64" si="44">Q59-O59</f>
        <v>21941708.569999695</v>
      </c>
      <c r="S59" s="69">
        <f t="shared" si="38"/>
        <v>1088083343.7799988</v>
      </c>
    </row>
    <row r="60" spans="1:19" ht="15" x14ac:dyDescent="0.25">
      <c r="A60" s="19" t="s">
        <v>95</v>
      </c>
      <c r="B60" s="20" t="s">
        <v>20</v>
      </c>
      <c r="C60" s="20" t="s">
        <v>12</v>
      </c>
      <c r="D60" s="11"/>
      <c r="E60" s="7"/>
      <c r="F60" s="23">
        <v>504788556.30000001</v>
      </c>
      <c r="G60" s="23">
        <v>536544286.30000001</v>
      </c>
      <c r="H60" s="24">
        <f t="shared" si="39"/>
        <v>31755730</v>
      </c>
      <c r="I60" s="23">
        <v>544617576.29999995</v>
      </c>
      <c r="J60" s="24">
        <f t="shared" si="40"/>
        <v>8073289.9999999404</v>
      </c>
      <c r="K60" s="25">
        <v>544617576.29999995</v>
      </c>
      <c r="L60" s="24">
        <f t="shared" si="41"/>
        <v>0</v>
      </c>
      <c r="M60" s="25">
        <v>548144246.55999994</v>
      </c>
      <c r="N60" s="24">
        <f t="shared" si="42"/>
        <v>3526670.2599999905</v>
      </c>
      <c r="O60" s="23">
        <v>549774291.39999998</v>
      </c>
      <c r="P60" s="24">
        <f t="shared" si="43"/>
        <v>1630044.8400000334</v>
      </c>
      <c r="Q60" s="23">
        <v>542852617.17999995</v>
      </c>
      <c r="R60" s="24">
        <f t="shared" si="44"/>
        <v>-6921674.2200000286</v>
      </c>
      <c r="S60" s="69">
        <f t="shared" si="38"/>
        <v>38064060.879999936</v>
      </c>
    </row>
    <row r="61" spans="1:19" ht="15" x14ac:dyDescent="0.25">
      <c r="A61" s="19" t="s">
        <v>58</v>
      </c>
      <c r="B61" s="20" t="s">
        <v>20</v>
      </c>
      <c r="C61" s="20" t="s">
        <v>14</v>
      </c>
      <c r="D61" s="11"/>
      <c r="E61" s="7"/>
      <c r="F61" s="23">
        <v>2029240533.25</v>
      </c>
      <c r="G61" s="23">
        <v>2068151741.25</v>
      </c>
      <c r="H61" s="24">
        <f t="shared" si="39"/>
        <v>38911208</v>
      </c>
      <c r="I61" s="23">
        <v>2093246610.25</v>
      </c>
      <c r="J61" s="24">
        <f t="shared" si="40"/>
        <v>25094869</v>
      </c>
      <c r="K61" s="25">
        <v>2093246610.25</v>
      </c>
      <c r="L61" s="24">
        <f t="shared" si="41"/>
        <v>0</v>
      </c>
      <c r="M61" s="25">
        <v>2111322595.54</v>
      </c>
      <c r="N61" s="24">
        <f t="shared" si="42"/>
        <v>18075985.289999962</v>
      </c>
      <c r="O61" s="23">
        <v>2161286028.1100001</v>
      </c>
      <c r="P61" s="24">
        <f t="shared" si="43"/>
        <v>49963432.570000172</v>
      </c>
      <c r="Q61" s="23">
        <v>2183064031.5599999</v>
      </c>
      <c r="R61" s="24">
        <f t="shared" si="44"/>
        <v>21778003.449999809</v>
      </c>
      <c r="S61" s="69">
        <f t="shared" si="38"/>
        <v>153823498.30999994</v>
      </c>
    </row>
    <row r="62" spans="1:19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23">
        <v>131819348.55</v>
      </c>
      <c r="G62" s="23">
        <v>138573914.84999999</v>
      </c>
      <c r="H62" s="24">
        <f t="shared" si="39"/>
        <v>6754566.299999997</v>
      </c>
      <c r="I62" s="23">
        <v>140505448.80000001</v>
      </c>
      <c r="J62" s="24">
        <f t="shared" si="40"/>
        <v>1931533.9500000179</v>
      </c>
      <c r="K62" s="23">
        <v>140505448.80000001</v>
      </c>
      <c r="L62" s="24">
        <f t="shared" si="41"/>
        <v>0</v>
      </c>
      <c r="M62" s="25">
        <v>144469400.40000001</v>
      </c>
      <c r="N62" s="24">
        <f t="shared" si="42"/>
        <v>3963951.599999994</v>
      </c>
      <c r="O62" s="25">
        <v>144469400.40000001</v>
      </c>
      <c r="P62" s="24">
        <f t="shared" si="43"/>
        <v>0</v>
      </c>
      <c r="Q62" s="25">
        <v>145684442.40000001</v>
      </c>
      <c r="R62" s="24">
        <f t="shared" si="44"/>
        <v>1215042</v>
      </c>
      <c r="S62" s="69">
        <f t="shared" si="38"/>
        <v>13865093.850000009</v>
      </c>
    </row>
    <row r="63" spans="1:19" ht="15" x14ac:dyDescent="0.25">
      <c r="A63" s="19" t="s">
        <v>60</v>
      </c>
      <c r="B63" s="20" t="s">
        <v>20</v>
      </c>
      <c r="C63" s="20" t="s">
        <v>20</v>
      </c>
      <c r="D63" s="11"/>
      <c r="E63" s="7"/>
      <c r="F63" s="23">
        <v>279405840</v>
      </c>
      <c r="G63" s="23">
        <v>352781972</v>
      </c>
      <c r="H63" s="24">
        <f t="shared" si="39"/>
        <v>73376132</v>
      </c>
      <c r="I63" s="23">
        <v>324487654</v>
      </c>
      <c r="J63" s="24">
        <f t="shared" si="40"/>
        <v>-28294318</v>
      </c>
      <c r="K63" s="23">
        <v>324487654</v>
      </c>
      <c r="L63" s="24">
        <f t="shared" si="41"/>
        <v>0</v>
      </c>
      <c r="M63" s="25">
        <v>367047631.5</v>
      </c>
      <c r="N63" s="24">
        <f t="shared" si="42"/>
        <v>42559977.5</v>
      </c>
      <c r="O63" s="25">
        <v>410240095.41000003</v>
      </c>
      <c r="P63" s="24">
        <f t="shared" si="43"/>
        <v>43192463.910000026</v>
      </c>
      <c r="Q63" s="25">
        <v>397465203.44</v>
      </c>
      <c r="R63" s="24">
        <f t="shared" si="44"/>
        <v>-12774891.970000029</v>
      </c>
      <c r="S63" s="69">
        <f t="shared" si="38"/>
        <v>118059363.44</v>
      </c>
    </row>
    <row r="64" spans="1:19" ht="15" x14ac:dyDescent="0.25">
      <c r="A64" s="19" t="s">
        <v>61</v>
      </c>
      <c r="B64" s="20" t="s">
        <v>20</v>
      </c>
      <c r="C64" s="20" t="s">
        <v>33</v>
      </c>
      <c r="D64" s="11"/>
      <c r="E64" s="7"/>
      <c r="F64" s="23">
        <v>579066681.58000004</v>
      </c>
      <c r="G64" s="23">
        <v>594850938.29999995</v>
      </c>
      <c r="H64" s="24">
        <f t="shared" si="39"/>
        <v>15784256.719999909</v>
      </c>
      <c r="I64" s="23">
        <v>605522583.52999997</v>
      </c>
      <c r="J64" s="24">
        <f t="shared" si="40"/>
        <v>10671645.230000019</v>
      </c>
      <c r="K64" s="25">
        <v>605522583.52999997</v>
      </c>
      <c r="L64" s="24">
        <f t="shared" si="41"/>
        <v>0</v>
      </c>
      <c r="M64" s="25">
        <v>753239654.21000004</v>
      </c>
      <c r="N64" s="24">
        <f t="shared" si="42"/>
        <v>147717070.68000007</v>
      </c>
      <c r="O64" s="23">
        <v>758576855.05999994</v>
      </c>
      <c r="P64" s="24">
        <f t="shared" si="43"/>
        <v>5337200.8499999046</v>
      </c>
      <c r="Q64" s="23">
        <v>756802325.72000003</v>
      </c>
      <c r="R64" s="24">
        <f t="shared" si="44"/>
        <v>-1774529.3399999142</v>
      </c>
      <c r="S64" s="69">
        <f t="shared" si="38"/>
        <v>177735644.13999999</v>
      </c>
    </row>
    <row r="65" spans="1:19" s="61" customFormat="1" ht="14.25" x14ac:dyDescent="0.2">
      <c r="A65" s="28" t="s">
        <v>93</v>
      </c>
      <c r="B65" s="29" t="s">
        <v>44</v>
      </c>
      <c r="C65" s="29" t="s">
        <v>9</v>
      </c>
      <c r="D65" s="6">
        <f t="shared" ref="D65:O65" si="45">SUM(D66:D67)</f>
        <v>0</v>
      </c>
      <c r="E65" s="6">
        <f t="shared" si="45"/>
        <v>0</v>
      </c>
      <c r="F65" s="37">
        <f t="shared" si="45"/>
        <v>1762154150.95</v>
      </c>
      <c r="G65" s="37">
        <f t="shared" si="45"/>
        <v>1794120361.95</v>
      </c>
      <c r="H65" s="38">
        <f>SUM(H66:H67)</f>
        <v>31966211</v>
      </c>
      <c r="I65" s="44">
        <f t="shared" si="45"/>
        <v>1772062030.95</v>
      </c>
      <c r="J65" s="38">
        <f>SUM(J66:J67)</f>
        <v>-22058331</v>
      </c>
      <c r="K65" s="37">
        <f t="shared" si="45"/>
        <v>1772062030.95</v>
      </c>
      <c r="L65" s="38">
        <f>SUM(L66:L67)</f>
        <v>0</v>
      </c>
      <c r="M65" s="37">
        <f t="shared" si="45"/>
        <v>1757770180.95</v>
      </c>
      <c r="N65" s="38">
        <f>SUM(N66:N67)</f>
        <v>-14291850</v>
      </c>
      <c r="O65" s="37">
        <f t="shared" si="45"/>
        <v>1781322565.95</v>
      </c>
      <c r="P65" s="38">
        <f>SUM(P66:P67)</f>
        <v>23552385</v>
      </c>
      <c r="Q65" s="37">
        <f>SUM(Q66:Q67)</f>
        <v>1789808897.05</v>
      </c>
      <c r="R65" s="38">
        <f>SUM(R66:R67)</f>
        <v>8486331.0999999046</v>
      </c>
      <c r="S65" s="70">
        <f>SUM(S66:S67)</f>
        <v>27654746.099999905</v>
      </c>
    </row>
    <row r="66" spans="1:19" ht="15" x14ac:dyDescent="0.25">
      <c r="A66" s="19" t="s">
        <v>62</v>
      </c>
      <c r="B66" s="20" t="s">
        <v>44</v>
      </c>
      <c r="C66" s="20" t="s">
        <v>8</v>
      </c>
      <c r="D66" s="11"/>
      <c r="E66" s="7"/>
      <c r="F66" s="23">
        <v>1725933950.95</v>
      </c>
      <c r="G66" s="23">
        <v>1756233849.95</v>
      </c>
      <c r="H66" s="24">
        <f>G66-F66</f>
        <v>30299899</v>
      </c>
      <c r="I66" s="23">
        <v>1734175518.95</v>
      </c>
      <c r="J66" s="24">
        <f>I66-G66</f>
        <v>-22058331</v>
      </c>
      <c r="K66" s="25">
        <v>1734175518.95</v>
      </c>
      <c r="L66" s="24">
        <f>K66-I66</f>
        <v>0</v>
      </c>
      <c r="M66" s="25">
        <v>1719883668.95</v>
      </c>
      <c r="N66" s="24">
        <f>M66-K66</f>
        <v>-14291850</v>
      </c>
      <c r="O66" s="23">
        <v>1742860948.95</v>
      </c>
      <c r="P66" s="24">
        <f>O66-M66</f>
        <v>22977280</v>
      </c>
      <c r="Q66" s="23">
        <v>1749818505.05</v>
      </c>
      <c r="R66" s="24">
        <f>Q66-O66</f>
        <v>6957556.0999999046</v>
      </c>
      <c r="S66" s="69">
        <f>Q66-F66</f>
        <v>23884554.099999905</v>
      </c>
    </row>
    <row r="67" spans="1:19" ht="15" x14ac:dyDescent="0.25">
      <c r="A67" s="19" t="s">
        <v>63</v>
      </c>
      <c r="B67" s="20" t="s">
        <v>44</v>
      </c>
      <c r="C67" s="20" t="s">
        <v>14</v>
      </c>
      <c r="D67" s="11"/>
      <c r="E67" s="7"/>
      <c r="F67" s="23">
        <v>36220200</v>
      </c>
      <c r="G67" s="23">
        <v>37886512</v>
      </c>
      <c r="H67" s="24">
        <f>G67-F67</f>
        <v>1666312</v>
      </c>
      <c r="I67" s="23">
        <v>37886512</v>
      </c>
      <c r="J67" s="24">
        <f>I67-G67</f>
        <v>0</v>
      </c>
      <c r="K67" s="25">
        <v>37886512</v>
      </c>
      <c r="L67" s="24">
        <f>K67-I67</f>
        <v>0</v>
      </c>
      <c r="M67" s="25">
        <v>37886512</v>
      </c>
      <c r="N67" s="24">
        <f>M67-K67</f>
        <v>0</v>
      </c>
      <c r="O67" s="23">
        <v>38461617</v>
      </c>
      <c r="P67" s="24">
        <f>O67-M67</f>
        <v>575105</v>
      </c>
      <c r="Q67" s="23">
        <v>39990392</v>
      </c>
      <c r="R67" s="24">
        <f>Q67-O67</f>
        <v>1528775</v>
      </c>
      <c r="S67" s="69">
        <f>Q67-F67</f>
        <v>3770192</v>
      </c>
    </row>
    <row r="68" spans="1:19" s="61" customFormat="1" ht="14.25" x14ac:dyDescent="0.2">
      <c r="A68" s="28" t="s">
        <v>64</v>
      </c>
      <c r="B68" s="29" t="s">
        <v>33</v>
      </c>
      <c r="C68" s="29" t="s">
        <v>9</v>
      </c>
      <c r="D68" s="6">
        <f t="shared" ref="D68:O68" si="46">SUM(D69:D74)</f>
        <v>0</v>
      </c>
      <c r="E68" s="6">
        <f t="shared" si="46"/>
        <v>0</v>
      </c>
      <c r="F68" s="37">
        <f t="shared" si="46"/>
        <v>9744176425.3699989</v>
      </c>
      <c r="G68" s="37">
        <f t="shared" si="46"/>
        <v>10491922021.98</v>
      </c>
      <c r="H68" s="38">
        <f>SUM(H69:H74)</f>
        <v>747745596.61000061</v>
      </c>
      <c r="I68" s="37">
        <f>SUM(I69:I74)</f>
        <v>10984955832.75</v>
      </c>
      <c r="J68" s="38">
        <f>SUM(J69:J74)</f>
        <v>493033810.76999968</v>
      </c>
      <c r="K68" s="37">
        <f>SUM(K69:K74)</f>
        <v>10984955832.75</v>
      </c>
      <c r="L68" s="38">
        <f>SUM(L69:L74)</f>
        <v>0</v>
      </c>
      <c r="M68" s="37">
        <f t="shared" si="46"/>
        <v>12033995341.529999</v>
      </c>
      <c r="N68" s="38">
        <f>SUM(N69:N74)</f>
        <v>1049039508.7799995</v>
      </c>
      <c r="O68" s="37">
        <f t="shared" si="46"/>
        <v>12212019908.98</v>
      </c>
      <c r="P68" s="38">
        <f>SUM(P69:P74)</f>
        <v>178024567.45000026</v>
      </c>
      <c r="Q68" s="37">
        <f>SUM(Q69:Q74)</f>
        <v>11318518006.470001</v>
      </c>
      <c r="R68" s="38">
        <f>SUM(R69:R74)</f>
        <v>-893501902.50999975</v>
      </c>
      <c r="S68" s="70">
        <f>SUM(S69:S74)</f>
        <v>1574341581.1000004</v>
      </c>
    </row>
    <row r="69" spans="1:19" ht="15" x14ac:dyDescent="0.25">
      <c r="A69" s="19" t="s">
        <v>65</v>
      </c>
      <c r="B69" s="20" t="s">
        <v>33</v>
      </c>
      <c r="C69" s="20" t="s">
        <v>8</v>
      </c>
      <c r="D69" s="11"/>
      <c r="E69" s="7"/>
      <c r="F69" s="23">
        <v>4803565548.7399998</v>
      </c>
      <c r="G69" s="23">
        <v>5424873684.0200005</v>
      </c>
      <c r="H69" s="24">
        <f t="shared" ref="H69:H74" si="47">G69-F69</f>
        <v>621308135.28000069</v>
      </c>
      <c r="I69" s="23">
        <v>5495528135.1999998</v>
      </c>
      <c r="J69" s="24">
        <f t="shared" ref="J69:J74" si="48">I69-G69</f>
        <v>70654451.179999352</v>
      </c>
      <c r="K69" s="25">
        <v>5495528135.1999998</v>
      </c>
      <c r="L69" s="24">
        <f t="shared" ref="L69:L74" si="49">K69-I69</f>
        <v>0</v>
      </c>
      <c r="M69" s="25">
        <v>6045374828.4799995</v>
      </c>
      <c r="N69" s="24">
        <f t="shared" ref="N69:N74" si="50">M69-K69</f>
        <v>549846693.27999973</v>
      </c>
      <c r="O69" s="23">
        <v>6193838709.54</v>
      </c>
      <c r="P69" s="24">
        <f t="shared" ref="P69:P74" si="51">O69-M69</f>
        <v>148463881.06000042</v>
      </c>
      <c r="Q69" s="23">
        <v>5503186942.8299999</v>
      </c>
      <c r="R69" s="24">
        <f t="shared" ref="R69:R74" si="52">Q69-O69</f>
        <v>-690651766.71000004</v>
      </c>
      <c r="S69" s="69">
        <f t="shared" ref="S69:S74" si="53">Q69-F69</f>
        <v>699621394.09000015</v>
      </c>
    </row>
    <row r="70" spans="1:19" ht="15" x14ac:dyDescent="0.25">
      <c r="A70" s="19" t="s">
        <v>66</v>
      </c>
      <c r="B70" s="20" t="s">
        <v>33</v>
      </c>
      <c r="C70" s="20" t="s">
        <v>10</v>
      </c>
      <c r="D70" s="12"/>
      <c r="E70" s="7"/>
      <c r="F70" s="40">
        <v>2087823253.8</v>
      </c>
      <c r="G70" s="40">
        <v>2096716294.8</v>
      </c>
      <c r="H70" s="24">
        <f t="shared" si="47"/>
        <v>8893041</v>
      </c>
      <c r="I70" s="40">
        <v>2194861932.48</v>
      </c>
      <c r="J70" s="24">
        <f t="shared" si="48"/>
        <v>98145637.680000067</v>
      </c>
      <c r="K70" s="40">
        <v>2194861932.48</v>
      </c>
      <c r="L70" s="24">
        <f t="shared" si="49"/>
        <v>0</v>
      </c>
      <c r="M70" s="40">
        <v>2315672465.8099999</v>
      </c>
      <c r="N70" s="24">
        <f t="shared" si="50"/>
        <v>120810533.32999992</v>
      </c>
      <c r="O70" s="23">
        <v>2014313477.8</v>
      </c>
      <c r="P70" s="24">
        <f t="shared" si="51"/>
        <v>-301358988.00999999</v>
      </c>
      <c r="Q70" s="23">
        <v>2059451038.8</v>
      </c>
      <c r="R70" s="24">
        <f t="shared" si="52"/>
        <v>45137561</v>
      </c>
      <c r="S70" s="69">
        <f t="shared" si="53"/>
        <v>-28372215</v>
      </c>
    </row>
    <row r="71" spans="1:19" ht="15" x14ac:dyDescent="0.25">
      <c r="A71" s="19" t="s">
        <v>67</v>
      </c>
      <c r="B71" s="20" t="s">
        <v>33</v>
      </c>
      <c r="C71" s="20" t="s">
        <v>14</v>
      </c>
      <c r="D71" s="12"/>
      <c r="E71" s="7"/>
      <c r="F71" s="40">
        <v>85413470</v>
      </c>
      <c r="G71" s="40">
        <v>86872285</v>
      </c>
      <c r="H71" s="24">
        <f t="shared" si="47"/>
        <v>1458815</v>
      </c>
      <c r="I71" s="40">
        <v>86872285</v>
      </c>
      <c r="J71" s="24">
        <f t="shared" si="48"/>
        <v>0</v>
      </c>
      <c r="K71" s="40">
        <v>86872285</v>
      </c>
      <c r="L71" s="24">
        <f t="shared" si="49"/>
        <v>0</v>
      </c>
      <c r="M71" s="40">
        <v>87093585</v>
      </c>
      <c r="N71" s="24">
        <f t="shared" si="50"/>
        <v>221300</v>
      </c>
      <c r="O71" s="23">
        <v>94818038.599999994</v>
      </c>
      <c r="P71" s="24">
        <f t="shared" si="51"/>
        <v>7724453.599999994</v>
      </c>
      <c r="Q71" s="23">
        <v>97421918.599999994</v>
      </c>
      <c r="R71" s="24">
        <f t="shared" si="52"/>
        <v>2603880</v>
      </c>
      <c r="S71" s="69">
        <f t="shared" si="53"/>
        <v>12008448.599999994</v>
      </c>
    </row>
    <row r="72" spans="1:19" ht="15" x14ac:dyDescent="0.25">
      <c r="A72" s="19" t="s">
        <v>68</v>
      </c>
      <c r="B72" s="20" t="s">
        <v>33</v>
      </c>
      <c r="C72" s="20" t="s">
        <v>16</v>
      </c>
      <c r="D72" s="11"/>
      <c r="E72" s="7"/>
      <c r="F72" s="23">
        <v>296784395</v>
      </c>
      <c r="G72" s="23">
        <v>305889972</v>
      </c>
      <c r="H72" s="24">
        <f t="shared" si="47"/>
        <v>9105577</v>
      </c>
      <c r="I72" s="23">
        <v>299368465.94</v>
      </c>
      <c r="J72" s="24">
        <f t="shared" si="48"/>
        <v>-6521506.0600000024</v>
      </c>
      <c r="K72" s="23">
        <v>299368465.94</v>
      </c>
      <c r="L72" s="24">
        <f t="shared" si="49"/>
        <v>0</v>
      </c>
      <c r="M72" s="25">
        <v>284985761.68000001</v>
      </c>
      <c r="N72" s="24">
        <f t="shared" si="50"/>
        <v>-14382704.25999999</v>
      </c>
      <c r="O72" s="23">
        <v>293602383.08999997</v>
      </c>
      <c r="P72" s="24">
        <f t="shared" si="51"/>
        <v>8616621.4099999666</v>
      </c>
      <c r="Q72" s="23">
        <v>290214023.89999998</v>
      </c>
      <c r="R72" s="24">
        <f t="shared" si="52"/>
        <v>-3388359.1899999976</v>
      </c>
      <c r="S72" s="69">
        <f t="shared" si="53"/>
        <v>-6570371.1000000238</v>
      </c>
    </row>
    <row r="73" spans="1:19" s="10" customFormat="1" ht="30" x14ac:dyDescent="0.2">
      <c r="A73" s="19" t="s">
        <v>69</v>
      </c>
      <c r="B73" s="20" t="s">
        <v>33</v>
      </c>
      <c r="C73" s="20" t="s">
        <v>18</v>
      </c>
      <c r="D73" s="8"/>
      <c r="E73" s="9"/>
      <c r="F73" s="23">
        <v>214147000</v>
      </c>
      <c r="G73" s="23">
        <v>216218754</v>
      </c>
      <c r="H73" s="24">
        <f t="shared" si="47"/>
        <v>2071754</v>
      </c>
      <c r="I73" s="23">
        <v>216218754</v>
      </c>
      <c r="J73" s="24">
        <f t="shared" si="48"/>
        <v>0</v>
      </c>
      <c r="K73" s="23">
        <v>216218754</v>
      </c>
      <c r="L73" s="24">
        <f t="shared" si="49"/>
        <v>0</v>
      </c>
      <c r="M73" s="23">
        <v>236266700</v>
      </c>
      <c r="N73" s="24">
        <f t="shared" si="50"/>
        <v>20047946</v>
      </c>
      <c r="O73" s="23">
        <v>238111582.5</v>
      </c>
      <c r="P73" s="24">
        <f t="shared" si="51"/>
        <v>1844882.5</v>
      </c>
      <c r="Q73" s="23">
        <v>238111582.5</v>
      </c>
      <c r="R73" s="24">
        <f t="shared" si="52"/>
        <v>0</v>
      </c>
      <c r="S73" s="69">
        <f t="shared" si="53"/>
        <v>23964582.5</v>
      </c>
    </row>
    <row r="74" spans="1:19" ht="15" x14ac:dyDescent="0.25">
      <c r="A74" s="19" t="s">
        <v>70</v>
      </c>
      <c r="B74" s="20" t="s">
        <v>33</v>
      </c>
      <c r="C74" s="20" t="s">
        <v>33</v>
      </c>
      <c r="D74" s="11"/>
      <c r="E74" s="7"/>
      <c r="F74" s="23">
        <v>2256442757.8299999</v>
      </c>
      <c r="G74" s="23">
        <v>2361351032.1599998</v>
      </c>
      <c r="H74" s="24">
        <f t="shared" si="47"/>
        <v>104908274.32999992</v>
      </c>
      <c r="I74" s="23">
        <v>2692106260.1300001</v>
      </c>
      <c r="J74" s="24">
        <f t="shared" si="48"/>
        <v>330755227.97000027</v>
      </c>
      <c r="K74" s="25">
        <v>2692106260.1300001</v>
      </c>
      <c r="L74" s="24">
        <f t="shared" si="49"/>
        <v>0</v>
      </c>
      <c r="M74" s="25">
        <v>3064602000.5599999</v>
      </c>
      <c r="N74" s="24">
        <f t="shared" si="50"/>
        <v>372495740.42999983</v>
      </c>
      <c r="O74" s="23">
        <v>3377335717.4499998</v>
      </c>
      <c r="P74" s="24">
        <f t="shared" si="51"/>
        <v>312733716.88999987</v>
      </c>
      <c r="Q74" s="23">
        <v>3130132499.8400002</v>
      </c>
      <c r="R74" s="24">
        <f t="shared" si="52"/>
        <v>-247203217.60999966</v>
      </c>
      <c r="S74" s="69">
        <f t="shared" si="53"/>
        <v>873689742.01000023</v>
      </c>
    </row>
    <row r="75" spans="1:19" s="61" customFormat="1" ht="14.25" x14ac:dyDescent="0.2">
      <c r="A75" s="28" t="s">
        <v>71</v>
      </c>
      <c r="B75" s="29" t="s">
        <v>21</v>
      </c>
      <c r="C75" s="29" t="s">
        <v>9</v>
      </c>
      <c r="D75" s="6">
        <f t="shared" ref="D75:O75" si="54">SUM(D76:D80)</f>
        <v>0</v>
      </c>
      <c r="E75" s="6">
        <f t="shared" si="54"/>
        <v>0</v>
      </c>
      <c r="F75" s="37">
        <f t="shared" si="54"/>
        <v>20514115042.41</v>
      </c>
      <c r="G75" s="37">
        <f t="shared" si="54"/>
        <v>20870142434.360001</v>
      </c>
      <c r="H75" s="38">
        <f>SUM(H76:H80)</f>
        <v>356027391.94999999</v>
      </c>
      <c r="I75" s="37">
        <f>SUM(I76:I80)</f>
        <v>20937480434.880001</v>
      </c>
      <c r="J75" s="38">
        <f>SUM(J76:J80)</f>
        <v>67338000.520001352</v>
      </c>
      <c r="K75" s="37">
        <f t="shared" si="54"/>
        <v>20937480434.880001</v>
      </c>
      <c r="L75" s="38">
        <f>SUM(L76:L80)</f>
        <v>0</v>
      </c>
      <c r="M75" s="37">
        <f t="shared" si="54"/>
        <v>21616267683.75</v>
      </c>
      <c r="N75" s="38">
        <f>SUM(N76:N80)</f>
        <v>678787248.86999846</v>
      </c>
      <c r="O75" s="37">
        <f t="shared" si="54"/>
        <v>21570291486.799999</v>
      </c>
      <c r="P75" s="38">
        <f>SUM(P76:P80)</f>
        <v>-45976196.950000107</v>
      </c>
      <c r="Q75" s="37">
        <f>SUM(Q76:Q80)</f>
        <v>21774133753.060001</v>
      </c>
      <c r="R75" s="38">
        <f>SUM(R76:R80)</f>
        <v>203842266.26000041</v>
      </c>
      <c r="S75" s="70">
        <f>SUM(S76:S80)</f>
        <v>1260018710.6500001</v>
      </c>
    </row>
    <row r="76" spans="1:19" ht="15" x14ac:dyDescent="0.25">
      <c r="A76" s="19" t="s">
        <v>72</v>
      </c>
      <c r="B76" s="20" t="s">
        <v>21</v>
      </c>
      <c r="C76" s="20" t="s">
        <v>8</v>
      </c>
      <c r="D76" s="4"/>
      <c r="E76" s="7"/>
      <c r="F76" s="23">
        <v>268015800</v>
      </c>
      <c r="G76" s="23">
        <v>268015800</v>
      </c>
      <c r="H76" s="24">
        <f>G76-F76</f>
        <v>0</v>
      </c>
      <c r="I76" s="23">
        <v>281234000</v>
      </c>
      <c r="J76" s="24">
        <f>I76-G76</f>
        <v>13218200</v>
      </c>
      <c r="K76" s="23">
        <v>281234000</v>
      </c>
      <c r="L76" s="24">
        <f>K76-I76</f>
        <v>0</v>
      </c>
      <c r="M76" s="23">
        <v>289353600</v>
      </c>
      <c r="N76" s="24">
        <f>M76-K76</f>
        <v>8119600</v>
      </c>
      <c r="O76" s="23">
        <v>291853600</v>
      </c>
      <c r="P76" s="24">
        <f>O76-M76</f>
        <v>2500000</v>
      </c>
      <c r="Q76" s="23">
        <v>285431700</v>
      </c>
      <c r="R76" s="24">
        <f>Q76-O76</f>
        <v>-6421900</v>
      </c>
      <c r="S76" s="69">
        <f>Q76-F76</f>
        <v>17415900</v>
      </c>
    </row>
    <row r="77" spans="1:19" ht="15" x14ac:dyDescent="0.25">
      <c r="A77" s="19" t="s">
        <v>73</v>
      </c>
      <c r="B77" s="20" t="s">
        <v>21</v>
      </c>
      <c r="C77" s="20" t="s">
        <v>10</v>
      </c>
      <c r="D77" s="11"/>
      <c r="E77" s="7"/>
      <c r="F77" s="23">
        <v>2596551096</v>
      </c>
      <c r="G77" s="23">
        <v>2743636496</v>
      </c>
      <c r="H77" s="24">
        <f>G77-F77</f>
        <v>147085400</v>
      </c>
      <c r="I77" s="23">
        <v>2826487396</v>
      </c>
      <c r="J77" s="24">
        <f>I77-G77</f>
        <v>82850900</v>
      </c>
      <c r="K77" s="23">
        <v>2826487396</v>
      </c>
      <c r="L77" s="24">
        <f>K77-I77</f>
        <v>0</v>
      </c>
      <c r="M77" s="23">
        <v>2952565138.23</v>
      </c>
      <c r="N77" s="24">
        <f>M77-K77</f>
        <v>126077742.23000002</v>
      </c>
      <c r="O77" s="23">
        <v>3020922038.23</v>
      </c>
      <c r="P77" s="24">
        <f>O77-M77</f>
        <v>68356900</v>
      </c>
      <c r="Q77" s="23">
        <v>3032305738.23</v>
      </c>
      <c r="R77" s="24">
        <f>Q77-O77</f>
        <v>11383700</v>
      </c>
      <c r="S77" s="69">
        <f>Q77-F77</f>
        <v>435754642.23000002</v>
      </c>
    </row>
    <row r="78" spans="1:19" ht="15" x14ac:dyDescent="0.25">
      <c r="A78" s="19" t="s">
        <v>74</v>
      </c>
      <c r="B78" s="20" t="s">
        <v>21</v>
      </c>
      <c r="C78" s="20" t="s">
        <v>12</v>
      </c>
      <c r="D78" s="12"/>
      <c r="E78" s="7"/>
      <c r="F78" s="40">
        <v>10982519026.41</v>
      </c>
      <c r="G78" s="40">
        <v>11250327722.41</v>
      </c>
      <c r="H78" s="24">
        <f>G78-F78</f>
        <v>267808696</v>
      </c>
      <c r="I78" s="40">
        <v>11257491585.370001</v>
      </c>
      <c r="J78" s="24">
        <f>I78-G78</f>
        <v>7163862.9600009918</v>
      </c>
      <c r="K78" s="43">
        <v>11257491585.370001</v>
      </c>
      <c r="L78" s="24">
        <f>K78-I78</f>
        <v>0</v>
      </c>
      <c r="M78" s="40">
        <v>11229405623.049999</v>
      </c>
      <c r="N78" s="24">
        <f>M78-K78</f>
        <v>-28085962.320001602</v>
      </c>
      <c r="O78" s="23">
        <v>11122620335.98</v>
      </c>
      <c r="P78" s="24">
        <f>O78-M78</f>
        <v>-106785287.06999969</v>
      </c>
      <c r="Q78" s="23">
        <v>11292806277.08</v>
      </c>
      <c r="R78" s="24">
        <f>Q78-O78</f>
        <v>170185941.10000038</v>
      </c>
      <c r="S78" s="69">
        <f>Q78-F78</f>
        <v>310287250.67000008</v>
      </c>
    </row>
    <row r="79" spans="1:19" ht="15" x14ac:dyDescent="0.25">
      <c r="A79" s="19" t="s">
        <v>75</v>
      </c>
      <c r="B79" s="20" t="s">
        <v>21</v>
      </c>
      <c r="C79" s="20" t="s">
        <v>14</v>
      </c>
      <c r="D79" s="11"/>
      <c r="E79" s="7"/>
      <c r="F79" s="23">
        <v>6324515240</v>
      </c>
      <c r="G79" s="23">
        <v>6225623650</v>
      </c>
      <c r="H79" s="24">
        <f>G79-F79</f>
        <v>-98891590</v>
      </c>
      <c r="I79" s="23">
        <v>6188690339.6400003</v>
      </c>
      <c r="J79" s="24">
        <f>I79-G79</f>
        <v>-36933310.359999657</v>
      </c>
      <c r="K79" s="25">
        <v>6188690339.6400003</v>
      </c>
      <c r="L79" s="24">
        <f>K79-I79</f>
        <v>0</v>
      </c>
      <c r="M79" s="25">
        <v>6762426634.5200005</v>
      </c>
      <c r="N79" s="24">
        <f>M79-K79</f>
        <v>573736294.88000011</v>
      </c>
      <c r="O79" s="23">
        <v>6751521764.21</v>
      </c>
      <c r="P79" s="24">
        <f>O79-M79</f>
        <v>-10904870.31000042</v>
      </c>
      <c r="Q79" s="23">
        <v>6776583746.46</v>
      </c>
      <c r="R79" s="24">
        <f>Q79-O79</f>
        <v>25061982.25</v>
      </c>
      <c r="S79" s="69">
        <f>Q79-F79</f>
        <v>452068506.46000004</v>
      </c>
    </row>
    <row r="80" spans="1:19" ht="15" x14ac:dyDescent="0.25">
      <c r="A80" s="19" t="s">
        <v>76</v>
      </c>
      <c r="B80" s="20" t="s">
        <v>21</v>
      </c>
      <c r="C80" s="20" t="s">
        <v>18</v>
      </c>
      <c r="D80" s="11"/>
      <c r="E80" s="7"/>
      <c r="F80" s="23">
        <v>342513880</v>
      </c>
      <c r="G80" s="23">
        <v>382538765.94999999</v>
      </c>
      <c r="H80" s="24">
        <f>G80-F80</f>
        <v>40024885.949999988</v>
      </c>
      <c r="I80" s="23">
        <v>383577113.87</v>
      </c>
      <c r="J80" s="24">
        <f>I80-G80</f>
        <v>1038347.9200000167</v>
      </c>
      <c r="K80" s="25">
        <v>383577113.87</v>
      </c>
      <c r="L80" s="24">
        <f>K80-I80</f>
        <v>0</v>
      </c>
      <c r="M80" s="25">
        <v>382516687.94999999</v>
      </c>
      <c r="N80" s="24">
        <f>M80-K80</f>
        <v>-1060425.9200000167</v>
      </c>
      <c r="O80" s="23">
        <v>383373748.38</v>
      </c>
      <c r="P80" s="24">
        <f>O80-M80</f>
        <v>857060.43000000715</v>
      </c>
      <c r="Q80" s="23">
        <v>387006291.29000002</v>
      </c>
      <c r="R80" s="24">
        <f>Q80-O80</f>
        <v>3632542.9100000262</v>
      </c>
      <c r="S80" s="69">
        <f>Q80-F80</f>
        <v>44492411.290000021</v>
      </c>
    </row>
    <row r="81" spans="1:21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S81" si="55">SUM(F82:F84)</f>
        <v>3716078933.1399999</v>
      </c>
      <c r="G81" s="37">
        <f t="shared" si="55"/>
        <v>3716937410.3299999</v>
      </c>
      <c r="H81" s="38">
        <f t="shared" si="55"/>
        <v>858477.19000017643</v>
      </c>
      <c r="I81" s="37">
        <f t="shared" si="55"/>
        <v>2238110143.1099997</v>
      </c>
      <c r="J81" s="38">
        <f t="shared" si="55"/>
        <v>-1478827267.2200003</v>
      </c>
      <c r="K81" s="37">
        <f t="shared" si="55"/>
        <v>2238110143.1099997</v>
      </c>
      <c r="L81" s="38">
        <f t="shared" si="55"/>
        <v>0</v>
      </c>
      <c r="M81" s="37">
        <f t="shared" si="55"/>
        <v>2022860379.0599999</v>
      </c>
      <c r="N81" s="38">
        <f t="shared" si="55"/>
        <v>-215249764.04999995</v>
      </c>
      <c r="O81" s="37">
        <f t="shared" si="55"/>
        <v>2024560379.0599999</v>
      </c>
      <c r="P81" s="38">
        <f t="shared" si="55"/>
        <v>1700000</v>
      </c>
      <c r="Q81" s="37">
        <f t="shared" si="55"/>
        <v>1985105798.0599999</v>
      </c>
      <c r="R81" s="38">
        <f t="shared" si="55"/>
        <v>-39454581</v>
      </c>
      <c r="S81" s="70">
        <f t="shared" si="55"/>
        <v>-1730973135.0799999</v>
      </c>
      <c r="T81" s="63"/>
      <c r="U81" s="64"/>
    </row>
    <row r="82" spans="1:21" ht="15" x14ac:dyDescent="0.25">
      <c r="A82" s="19" t="s">
        <v>78</v>
      </c>
      <c r="B82" s="20" t="s">
        <v>23</v>
      </c>
      <c r="C82" s="20" t="s">
        <v>10</v>
      </c>
      <c r="D82" s="7"/>
      <c r="E82" s="7"/>
      <c r="F82" s="25">
        <v>3060685935.1399999</v>
      </c>
      <c r="G82" s="39">
        <v>3050018769.6700001</v>
      </c>
      <c r="H82" s="24">
        <f>G82-F82</f>
        <v>-10667165.46999979</v>
      </c>
      <c r="I82" s="25">
        <v>1556500295.05</v>
      </c>
      <c r="J82" s="24">
        <f>I82-G82</f>
        <v>-1493518474.6200001</v>
      </c>
      <c r="K82" s="25">
        <v>1556500295.05</v>
      </c>
      <c r="L82" s="24">
        <f>K82-I82</f>
        <v>0</v>
      </c>
      <c r="M82" s="25">
        <v>1328368331</v>
      </c>
      <c r="N82" s="24">
        <f>M82-K82</f>
        <v>-228131964.04999995</v>
      </c>
      <c r="O82" s="23">
        <v>1330461231</v>
      </c>
      <c r="P82" s="24">
        <f>O82-M82</f>
        <v>2092900</v>
      </c>
      <c r="Q82" s="25">
        <v>1289653697</v>
      </c>
      <c r="R82" s="24">
        <f>Q82-O82</f>
        <v>-40807534</v>
      </c>
      <c r="S82" s="69">
        <f>Q82-F82</f>
        <v>-1771032238.1399999</v>
      </c>
    </row>
    <row r="83" spans="1:21" ht="15" x14ac:dyDescent="0.25">
      <c r="A83" s="19" t="s">
        <v>79</v>
      </c>
      <c r="B83" s="20" t="s">
        <v>23</v>
      </c>
      <c r="C83" s="20" t="s">
        <v>12</v>
      </c>
      <c r="D83" s="12"/>
      <c r="E83" s="7"/>
      <c r="F83" s="39">
        <v>638615498</v>
      </c>
      <c r="G83" s="40">
        <v>649265594.65999997</v>
      </c>
      <c r="H83" s="24">
        <f>G83-F83</f>
        <v>10650096.659999967</v>
      </c>
      <c r="I83" s="39">
        <v>663956802.05999994</v>
      </c>
      <c r="J83" s="24">
        <f>I83-G83</f>
        <v>14691207.399999976</v>
      </c>
      <c r="K83" s="43">
        <v>663956802.05999994</v>
      </c>
      <c r="L83" s="24">
        <f>K83-I83</f>
        <v>0</v>
      </c>
      <c r="M83" s="25">
        <v>675978602.05999994</v>
      </c>
      <c r="N83" s="24">
        <f>M83-K83</f>
        <v>12021800</v>
      </c>
      <c r="O83" s="25">
        <v>675185702.05999994</v>
      </c>
      <c r="P83" s="24">
        <f>O83-M83</f>
        <v>-792900</v>
      </c>
      <c r="Q83" s="23">
        <v>676116336.05999994</v>
      </c>
      <c r="R83" s="24">
        <f>Q83-O83</f>
        <v>930634</v>
      </c>
      <c r="S83" s="69">
        <f>Q83-F83</f>
        <v>37500838.059999943</v>
      </c>
    </row>
    <row r="84" spans="1:21" ht="15" x14ac:dyDescent="0.25">
      <c r="A84" s="19" t="s">
        <v>80</v>
      </c>
      <c r="B84" s="20" t="s">
        <v>23</v>
      </c>
      <c r="C84" s="20" t="s">
        <v>16</v>
      </c>
      <c r="D84" s="11"/>
      <c r="E84" s="7"/>
      <c r="F84" s="40">
        <v>16777500</v>
      </c>
      <c r="G84" s="23">
        <v>17653046</v>
      </c>
      <c r="H84" s="24">
        <f>G84-F84</f>
        <v>875546</v>
      </c>
      <c r="I84" s="40">
        <v>17653046</v>
      </c>
      <c r="J84" s="24">
        <f>I84-G84</f>
        <v>0</v>
      </c>
      <c r="K84" s="25">
        <v>17653046</v>
      </c>
      <c r="L84" s="24">
        <f>K84-I84</f>
        <v>0</v>
      </c>
      <c r="M84" s="40">
        <v>18513446</v>
      </c>
      <c r="N84" s="24">
        <f>M84-K84</f>
        <v>860400</v>
      </c>
      <c r="O84" s="23">
        <v>18913446</v>
      </c>
      <c r="P84" s="24">
        <f>O84-M84</f>
        <v>400000</v>
      </c>
      <c r="Q84" s="25">
        <v>19335765</v>
      </c>
      <c r="R84" s="24">
        <f>Q84-O84</f>
        <v>422319</v>
      </c>
      <c r="S84" s="69">
        <f>Q84-F84</f>
        <v>2558265</v>
      </c>
    </row>
    <row r="85" spans="1:21" s="61" customFormat="1" ht="14.25" x14ac:dyDescent="0.2">
      <c r="A85" s="28" t="s">
        <v>81</v>
      </c>
      <c r="B85" s="29" t="s">
        <v>47</v>
      </c>
      <c r="C85" s="29" t="s">
        <v>9</v>
      </c>
      <c r="D85" s="6">
        <f t="shared" ref="D85:O85" si="56">SUM(D86:D88)</f>
        <v>0</v>
      </c>
      <c r="E85" s="6">
        <f t="shared" si="56"/>
        <v>0</v>
      </c>
      <c r="F85" s="37">
        <f t="shared" si="56"/>
        <v>217348610</v>
      </c>
      <c r="G85" s="37">
        <f t="shared" si="56"/>
        <v>240703495</v>
      </c>
      <c r="H85" s="38">
        <f>SUM(H86:H88)</f>
        <v>23354885</v>
      </c>
      <c r="I85" s="37">
        <f>SUM(I86:I88)</f>
        <v>241156890.38</v>
      </c>
      <c r="J85" s="38">
        <f>SUM(J86:J88)</f>
        <v>453395.37999999896</v>
      </c>
      <c r="K85" s="37">
        <f>SUM(K86:K88)</f>
        <v>241156890.38</v>
      </c>
      <c r="L85" s="38">
        <f>SUM(L86:L88)</f>
        <v>0</v>
      </c>
      <c r="M85" s="37">
        <f t="shared" si="56"/>
        <v>245110390.38</v>
      </c>
      <c r="N85" s="38">
        <f>SUM(N86:N88)</f>
        <v>3953500</v>
      </c>
      <c r="O85" s="37">
        <f t="shared" si="56"/>
        <v>245110390.38</v>
      </c>
      <c r="P85" s="38">
        <f>SUM(P86:P88)</f>
        <v>0</v>
      </c>
      <c r="Q85" s="44">
        <f>SUM(Q86:Q88)</f>
        <v>245812265.38</v>
      </c>
      <c r="R85" s="38">
        <f>SUM(R86:R88)</f>
        <v>701875</v>
      </c>
      <c r="S85" s="70">
        <f>SUM(S86:S88)</f>
        <v>28463655.379999999</v>
      </c>
    </row>
    <row r="86" spans="1:21" ht="15" x14ac:dyDescent="0.25">
      <c r="A86" s="19" t="s">
        <v>82</v>
      </c>
      <c r="B86" s="20" t="s">
        <v>47</v>
      </c>
      <c r="C86" s="20" t="s">
        <v>8</v>
      </c>
      <c r="D86" s="7"/>
      <c r="E86" s="7"/>
      <c r="F86" s="39">
        <v>74942410</v>
      </c>
      <c r="G86" s="39">
        <v>94836030</v>
      </c>
      <c r="H86" s="24">
        <f>G86-F86</f>
        <v>19893620</v>
      </c>
      <c r="I86" s="39">
        <v>94836030</v>
      </c>
      <c r="J86" s="24">
        <f>I86-G86</f>
        <v>0</v>
      </c>
      <c r="K86" s="39">
        <v>94836030</v>
      </c>
      <c r="L86" s="24">
        <f>K86-I86</f>
        <v>0</v>
      </c>
      <c r="M86" s="39">
        <v>98327530</v>
      </c>
      <c r="N86" s="24">
        <f>M86-K86</f>
        <v>3491500</v>
      </c>
      <c r="O86" s="39">
        <v>98327530</v>
      </c>
      <c r="P86" s="24">
        <f>O86-M86</f>
        <v>0</v>
      </c>
      <c r="Q86" s="39">
        <v>98327530</v>
      </c>
      <c r="R86" s="24">
        <f>Q86-O86</f>
        <v>0</v>
      </c>
      <c r="S86" s="69">
        <f>Q86-F86</f>
        <v>23385120</v>
      </c>
    </row>
    <row r="87" spans="1:21" ht="15" x14ac:dyDescent="0.25">
      <c r="A87" s="19" t="s">
        <v>83</v>
      </c>
      <c r="B87" s="20" t="s">
        <v>47</v>
      </c>
      <c r="C87" s="20" t="s">
        <v>10</v>
      </c>
      <c r="D87" s="7"/>
      <c r="E87" s="7"/>
      <c r="F87" s="39">
        <v>111073400</v>
      </c>
      <c r="G87" s="39">
        <v>116096820</v>
      </c>
      <c r="H87" s="24">
        <f>G87-F87</f>
        <v>5023420</v>
      </c>
      <c r="I87" s="39">
        <v>116096820</v>
      </c>
      <c r="J87" s="24">
        <f>I87-G87</f>
        <v>0</v>
      </c>
      <c r="K87" s="39">
        <v>116096820</v>
      </c>
      <c r="L87" s="24">
        <f>K87-I87</f>
        <v>0</v>
      </c>
      <c r="M87" s="39">
        <v>116558820</v>
      </c>
      <c r="N87" s="24">
        <f>M87-K87</f>
        <v>462000</v>
      </c>
      <c r="O87" s="39">
        <v>116558820</v>
      </c>
      <c r="P87" s="24">
        <f>O87-M87</f>
        <v>0</v>
      </c>
      <c r="Q87" s="39">
        <v>116558820</v>
      </c>
      <c r="R87" s="24">
        <f>Q87-O87</f>
        <v>0</v>
      </c>
      <c r="S87" s="69">
        <f>Q87-F87</f>
        <v>5485420</v>
      </c>
    </row>
    <row r="88" spans="1:21" s="16" customFormat="1" ht="15" x14ac:dyDescent="0.2">
      <c r="A88" s="19" t="s">
        <v>84</v>
      </c>
      <c r="B88" s="20" t="s">
        <v>47</v>
      </c>
      <c r="C88" s="20" t="s">
        <v>14</v>
      </c>
      <c r="D88" s="9"/>
      <c r="E88" s="9"/>
      <c r="F88" s="39">
        <v>31332800</v>
      </c>
      <c r="G88" s="39">
        <v>29770645</v>
      </c>
      <c r="H88" s="24">
        <f>G88-F88</f>
        <v>-1562155</v>
      </c>
      <c r="I88" s="39">
        <v>30224040.379999999</v>
      </c>
      <c r="J88" s="24">
        <f>I88-G88</f>
        <v>453395.37999999896</v>
      </c>
      <c r="K88" s="39">
        <v>30224040.379999999</v>
      </c>
      <c r="L88" s="24">
        <f>K88-I88</f>
        <v>0</v>
      </c>
      <c r="M88" s="39">
        <v>30224040.379999999</v>
      </c>
      <c r="N88" s="24">
        <f>M88-K88</f>
        <v>0</v>
      </c>
      <c r="O88" s="23">
        <v>30224040.379999999</v>
      </c>
      <c r="P88" s="24">
        <f>O88-M88</f>
        <v>0</v>
      </c>
      <c r="Q88" s="23">
        <v>30925915.379999999</v>
      </c>
      <c r="R88" s="24">
        <f>Q88-O88</f>
        <v>701875</v>
      </c>
      <c r="S88" s="69">
        <f>Q88-F88</f>
        <v>-406884.62000000104</v>
      </c>
    </row>
    <row r="89" spans="1:21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Q89" si="57">SUM(D90)</f>
        <v>0</v>
      </c>
      <c r="E89" s="13">
        <f t="shared" si="57"/>
        <v>0</v>
      </c>
      <c r="F89" s="37">
        <f>F90</f>
        <v>570000000</v>
      </c>
      <c r="G89" s="37">
        <f t="shared" si="57"/>
        <v>570000000</v>
      </c>
      <c r="H89" s="38">
        <f>SUM(H90)</f>
        <v>0</v>
      </c>
      <c r="I89" s="37">
        <f t="shared" si="57"/>
        <v>570000000</v>
      </c>
      <c r="J89" s="38">
        <f>SUM(J90)</f>
        <v>0</v>
      </c>
      <c r="K89" s="37">
        <f t="shared" si="57"/>
        <v>570000000</v>
      </c>
      <c r="L89" s="38">
        <f>SUM(L90)</f>
        <v>0</v>
      </c>
      <c r="M89" s="37">
        <f t="shared" si="57"/>
        <v>570000000</v>
      </c>
      <c r="N89" s="38">
        <f>SUM(N90)</f>
        <v>0</v>
      </c>
      <c r="O89" s="37">
        <f t="shared" si="57"/>
        <v>370000000</v>
      </c>
      <c r="P89" s="38">
        <f>SUM(P90)</f>
        <v>-200000000</v>
      </c>
      <c r="Q89" s="37">
        <f t="shared" si="57"/>
        <v>360000000</v>
      </c>
      <c r="R89" s="38">
        <f>SUM(R90)</f>
        <v>-10000000</v>
      </c>
      <c r="S89" s="70">
        <f>SUM(S90)</f>
        <v>-210000000</v>
      </c>
    </row>
    <row r="90" spans="1:21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39">
        <v>570000000</v>
      </c>
      <c r="G90" s="39">
        <v>570000000</v>
      </c>
      <c r="H90" s="24">
        <f>G90-F90</f>
        <v>0</v>
      </c>
      <c r="I90" s="39">
        <v>570000000</v>
      </c>
      <c r="J90" s="24">
        <f>I90-G90</f>
        <v>0</v>
      </c>
      <c r="K90" s="39">
        <v>570000000</v>
      </c>
      <c r="L90" s="24">
        <f>K90-I90</f>
        <v>0</v>
      </c>
      <c r="M90" s="39">
        <v>570000000</v>
      </c>
      <c r="N90" s="24">
        <f>M90-K90</f>
        <v>0</v>
      </c>
      <c r="O90" s="39">
        <v>370000000</v>
      </c>
      <c r="P90" s="24">
        <f>O90-M90</f>
        <v>-200000000</v>
      </c>
      <c r="Q90" s="39">
        <v>360000000</v>
      </c>
      <c r="R90" s="24">
        <f>Q90-O90</f>
        <v>-10000000</v>
      </c>
      <c r="S90" s="69">
        <f>Q90-F90</f>
        <v>-210000000</v>
      </c>
    </row>
    <row r="91" spans="1:21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O91" si="58">SUM(D92:D94)</f>
        <v>0</v>
      </c>
      <c r="E91" s="13">
        <f t="shared" si="58"/>
        <v>0</v>
      </c>
      <c r="F91" s="37">
        <f t="shared" si="58"/>
        <v>3522431619</v>
      </c>
      <c r="G91" s="37">
        <f t="shared" si="58"/>
        <v>4974990808.8400002</v>
      </c>
      <c r="H91" s="38">
        <f>SUM(H92:H94)</f>
        <v>1452559189.8399997</v>
      </c>
      <c r="I91" s="37">
        <f>SUM(I92:I94)</f>
        <v>6310491254.7600002</v>
      </c>
      <c r="J91" s="38">
        <f>SUM(J92:J94)</f>
        <v>1335500445.9200003</v>
      </c>
      <c r="K91" s="37">
        <f t="shared" si="58"/>
        <v>6310491254.7600002</v>
      </c>
      <c r="L91" s="38">
        <f>SUM(L92:L94)</f>
        <v>0</v>
      </c>
      <c r="M91" s="37">
        <f t="shared" si="58"/>
        <v>6236991254.7600002</v>
      </c>
      <c r="N91" s="38">
        <f>SUM(N92:N94)</f>
        <v>-73500000</v>
      </c>
      <c r="O91" s="37">
        <f t="shared" si="58"/>
        <v>6240516654.7700005</v>
      </c>
      <c r="P91" s="38">
        <f>SUM(P92:P94)</f>
        <v>3525400.0099999905</v>
      </c>
      <c r="Q91" s="37">
        <f>SUM(Q92:Q94)</f>
        <v>6291401967.8000002</v>
      </c>
      <c r="R91" s="38">
        <f>SUM(R92:R94)</f>
        <v>50885313.029999971</v>
      </c>
      <c r="S91" s="73">
        <f>SUM(S92:S94)</f>
        <v>2768970348.8000002</v>
      </c>
    </row>
    <row r="92" spans="1:21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39">
        <v>1729300566</v>
      </c>
      <c r="G92" s="39">
        <v>1726583378.53</v>
      </c>
      <c r="H92" s="24">
        <f>G92-F92</f>
        <v>-2717187.4700000286</v>
      </c>
      <c r="I92" s="39">
        <v>1726583378.53</v>
      </c>
      <c r="J92" s="24">
        <f>I92-G92</f>
        <v>0</v>
      </c>
      <c r="K92" s="39">
        <v>1726583378.53</v>
      </c>
      <c r="L92" s="24">
        <f>K92-I92</f>
        <v>0</v>
      </c>
      <c r="M92" s="39">
        <v>1726583378.53</v>
      </c>
      <c r="N92" s="24">
        <f>M92-K92</f>
        <v>0</v>
      </c>
      <c r="O92" s="39">
        <v>1726583378.53</v>
      </c>
      <c r="P92" s="24">
        <f>O92-M92</f>
        <v>0</v>
      </c>
      <c r="Q92" s="39">
        <v>1726583378.53</v>
      </c>
      <c r="R92" s="24">
        <f>Q92-O92</f>
        <v>0</v>
      </c>
      <c r="S92" s="69">
        <f>Q92-F92</f>
        <v>-2717187.4700000286</v>
      </c>
    </row>
    <row r="93" spans="1:21" ht="15" x14ac:dyDescent="0.25">
      <c r="A93" s="19" t="s">
        <v>88</v>
      </c>
      <c r="B93" s="20" t="s">
        <v>37</v>
      </c>
      <c r="C93" s="20" t="s">
        <v>10</v>
      </c>
      <c r="D93" s="7"/>
      <c r="E93" s="7"/>
      <c r="F93" s="39">
        <v>1506275143</v>
      </c>
      <c r="G93" s="39">
        <v>2948992330.4699998</v>
      </c>
      <c r="H93" s="24">
        <f>G93-F93</f>
        <v>1442717187.4699998</v>
      </c>
      <c r="I93" s="39">
        <v>4039621832.8600001</v>
      </c>
      <c r="J93" s="24">
        <f>I93-G93</f>
        <v>1090629502.3900003</v>
      </c>
      <c r="K93" s="42">
        <v>4039621832.8600001</v>
      </c>
      <c r="L93" s="24">
        <f>K93-I93</f>
        <v>0</v>
      </c>
      <c r="M93" s="39">
        <v>3966121832.8600001</v>
      </c>
      <c r="N93" s="24">
        <f>M93-K93</f>
        <v>-73500000</v>
      </c>
      <c r="O93" s="23">
        <v>3966121832.8600001</v>
      </c>
      <c r="P93" s="24">
        <f>O93-M93</f>
        <v>0</v>
      </c>
      <c r="Q93" s="23">
        <v>3966121832.8600001</v>
      </c>
      <c r="R93" s="24">
        <f>Q93-O93</f>
        <v>0</v>
      </c>
      <c r="S93" s="69">
        <f>Q93-F93</f>
        <v>2459846689.8600001</v>
      </c>
    </row>
    <row r="94" spans="1:21" ht="15" x14ac:dyDescent="0.25">
      <c r="A94" s="19" t="s">
        <v>89</v>
      </c>
      <c r="B94" s="20" t="s">
        <v>37</v>
      </c>
      <c r="C94" s="20" t="s">
        <v>12</v>
      </c>
      <c r="D94" s="7"/>
      <c r="E94" s="7"/>
      <c r="F94" s="39">
        <v>286855910</v>
      </c>
      <c r="G94" s="39">
        <v>299415099.83999997</v>
      </c>
      <c r="H94" s="24">
        <f>G94-F94</f>
        <v>12559189.839999974</v>
      </c>
      <c r="I94" s="39">
        <v>544286043.37</v>
      </c>
      <c r="J94" s="24">
        <f>I94-G94</f>
        <v>244870943.53000003</v>
      </c>
      <c r="K94" s="42">
        <v>544286043.37</v>
      </c>
      <c r="L94" s="24">
        <f>K94-I94</f>
        <v>0</v>
      </c>
      <c r="M94" s="39">
        <v>544286043.37</v>
      </c>
      <c r="N94" s="24">
        <f>M94-K94</f>
        <v>0</v>
      </c>
      <c r="O94" s="39">
        <v>547811443.38</v>
      </c>
      <c r="P94" s="24">
        <f>O94-M94</f>
        <v>3525400.0099999905</v>
      </c>
      <c r="Q94" s="39">
        <v>598696756.40999997</v>
      </c>
      <c r="R94" s="24">
        <f>Q94-O94</f>
        <v>50885313.029999971</v>
      </c>
      <c r="S94" s="69">
        <f>Q94-F94</f>
        <v>311840846.40999997</v>
      </c>
    </row>
    <row r="95" spans="1:21" x14ac:dyDescent="0.2">
      <c r="F95" s="45"/>
      <c r="G95" s="45"/>
      <c r="H95" s="46"/>
      <c r="I95" s="46"/>
      <c r="J95" s="46"/>
      <c r="K95" s="46"/>
      <c r="L95" s="46"/>
      <c r="M95" s="46"/>
      <c r="N95" s="46"/>
      <c r="O95" s="45"/>
      <c r="P95" s="45"/>
      <c r="Q95" s="45"/>
      <c r="R95" s="45"/>
    </row>
    <row r="96" spans="1:21" x14ac:dyDescent="0.2">
      <c r="F96" s="68">
        <f>85455083156.15-F17</f>
        <v>0</v>
      </c>
      <c r="G96" s="68">
        <f>92846959343.51-G17</f>
        <v>0</v>
      </c>
      <c r="H96" s="68">
        <f>G96-F96</f>
        <v>0</v>
      </c>
      <c r="I96" s="68">
        <f>102177773577.75-I17</f>
        <v>0</v>
      </c>
      <c r="J96" s="68">
        <f>I96-G96</f>
        <v>0</v>
      </c>
      <c r="K96" s="68">
        <f>102177773577.75-K17</f>
        <v>0</v>
      </c>
      <c r="L96" s="68">
        <f>K96-I96</f>
        <v>0</v>
      </c>
      <c r="M96" s="68">
        <f>106068595252.77-M17</f>
        <v>0</v>
      </c>
      <c r="N96" s="68">
        <f>M96-K96</f>
        <v>0</v>
      </c>
      <c r="O96" s="68">
        <f>106797032343.81-O17</f>
        <v>0</v>
      </c>
      <c r="P96" s="68">
        <f>O96-M96</f>
        <v>0</v>
      </c>
      <c r="Q96" s="68">
        <f>106844276922.86-Q17</f>
        <v>0</v>
      </c>
      <c r="R96" s="68">
        <f>Q96-O96</f>
        <v>0</v>
      </c>
      <c r="S96" s="71">
        <f>S17-S19-S28-S31-S39-S49-S54-S57-S65-S68-S75-S81-S85-S89-S91</f>
        <v>1.0013580322265625E-5</v>
      </c>
    </row>
    <row r="97" spans="6:18" x14ac:dyDescent="0.2">
      <c r="F97" s="45"/>
      <c r="G97" s="47"/>
      <c r="H97" s="46"/>
      <c r="I97" s="46"/>
      <c r="J97" s="46"/>
      <c r="K97" s="46"/>
      <c r="L97" s="46"/>
      <c r="M97" s="46"/>
      <c r="N97" s="46"/>
      <c r="O97" s="45"/>
      <c r="P97" s="45"/>
      <c r="Q97" s="45"/>
      <c r="R97" s="45"/>
    </row>
    <row r="98" spans="6:18" x14ac:dyDescent="0.2">
      <c r="F98" s="45"/>
      <c r="G98" s="45"/>
      <c r="H98" s="46"/>
      <c r="I98" s="46"/>
      <c r="J98" s="46"/>
      <c r="K98" s="46"/>
      <c r="L98" s="46"/>
      <c r="M98" s="46"/>
      <c r="N98" s="46"/>
      <c r="O98" s="45"/>
      <c r="P98" s="45"/>
      <c r="Q98" s="45"/>
      <c r="R98" s="45"/>
    </row>
    <row r="99" spans="6:18" x14ac:dyDescent="0.2">
      <c r="F99" s="45"/>
      <c r="G99" s="45"/>
      <c r="H99" s="46"/>
      <c r="I99" s="46"/>
      <c r="J99" s="46"/>
      <c r="K99" s="46"/>
      <c r="L99" s="46"/>
      <c r="M99" s="46"/>
      <c r="N99" s="46"/>
      <c r="O99" s="45"/>
      <c r="P99" s="45"/>
      <c r="Q99" s="45"/>
      <c r="R99" s="45"/>
    </row>
    <row r="100" spans="6:18" x14ac:dyDescent="0.2">
      <c r="F100" s="45"/>
      <c r="G100" s="45"/>
      <c r="H100" s="46"/>
      <c r="I100" s="46"/>
      <c r="J100" s="46"/>
      <c r="K100" s="46"/>
      <c r="L100" s="46"/>
      <c r="M100" s="46"/>
      <c r="N100" s="46"/>
      <c r="O100" s="45"/>
      <c r="P100" s="45"/>
      <c r="Q100" s="45"/>
      <c r="R100" s="45"/>
    </row>
    <row r="101" spans="6:18" x14ac:dyDescent="0.2">
      <c r="F101" s="45"/>
      <c r="G101" s="45"/>
      <c r="H101" s="46"/>
      <c r="I101" s="46"/>
      <c r="J101" s="46"/>
      <c r="K101" s="46"/>
      <c r="L101" s="46"/>
      <c r="M101" s="46"/>
      <c r="N101" s="46"/>
      <c r="O101" s="45"/>
      <c r="P101" s="45"/>
      <c r="Q101" s="45"/>
      <c r="R101" s="45"/>
    </row>
    <row r="102" spans="6:18" x14ac:dyDescent="0.2">
      <c r="F102" s="45"/>
      <c r="G102" s="45"/>
      <c r="H102" s="46"/>
      <c r="I102" s="46"/>
      <c r="J102" s="46"/>
      <c r="K102" s="46"/>
      <c r="L102" s="46"/>
      <c r="M102" s="46"/>
      <c r="N102" s="46"/>
      <c r="O102" s="45"/>
      <c r="P102" s="45"/>
      <c r="Q102" s="45"/>
      <c r="R102" s="45"/>
    </row>
    <row r="103" spans="6:18" x14ac:dyDescent="0.2">
      <c r="F103" s="45"/>
      <c r="G103" s="45"/>
      <c r="H103" s="46"/>
      <c r="I103" s="46"/>
      <c r="J103" s="46"/>
      <c r="K103" s="46"/>
      <c r="L103" s="46"/>
      <c r="M103" s="46"/>
      <c r="N103" s="46"/>
      <c r="O103" s="45"/>
      <c r="P103" s="45"/>
      <c r="Q103" s="45"/>
      <c r="R103" s="45"/>
    </row>
    <row r="104" spans="6:18" x14ac:dyDescent="0.2">
      <c r="F104" s="45"/>
      <c r="G104" s="45"/>
      <c r="H104" s="46"/>
      <c r="I104" s="46"/>
      <c r="J104" s="46"/>
      <c r="K104" s="46"/>
      <c r="L104" s="46"/>
      <c r="M104" s="46"/>
      <c r="N104" s="46"/>
      <c r="O104" s="45"/>
      <c r="P104" s="45"/>
      <c r="Q104" s="45"/>
      <c r="R104" s="45"/>
    </row>
    <row r="105" spans="6:18" x14ac:dyDescent="0.2">
      <c r="F105" s="45"/>
      <c r="G105" s="45"/>
      <c r="H105" s="46"/>
      <c r="I105" s="46"/>
      <c r="J105" s="46"/>
      <c r="K105" s="46"/>
      <c r="L105" s="46"/>
      <c r="M105" s="46"/>
      <c r="N105" s="46"/>
      <c r="O105" s="45"/>
      <c r="P105" s="45"/>
      <c r="Q105" s="45"/>
      <c r="R105" s="45"/>
    </row>
    <row r="106" spans="6:18" x14ac:dyDescent="0.2">
      <c r="F106" s="45"/>
      <c r="G106" s="45"/>
      <c r="H106" s="46"/>
      <c r="I106" s="46"/>
      <c r="J106" s="46"/>
      <c r="K106" s="46"/>
      <c r="L106" s="46"/>
      <c r="M106" s="46"/>
      <c r="N106" s="46"/>
      <c r="O106" s="45"/>
      <c r="P106" s="45"/>
      <c r="Q106" s="45"/>
      <c r="R106" s="45"/>
    </row>
    <row r="107" spans="6:18" x14ac:dyDescent="0.2">
      <c r="F107" s="45"/>
      <c r="G107" s="45"/>
      <c r="H107" s="46"/>
      <c r="I107" s="46"/>
      <c r="J107" s="46"/>
      <c r="K107" s="46"/>
      <c r="L107" s="46"/>
      <c r="M107" s="46"/>
      <c r="N107" s="46"/>
      <c r="O107" s="45"/>
      <c r="P107" s="45"/>
      <c r="Q107" s="45"/>
      <c r="R107" s="45"/>
    </row>
    <row r="108" spans="6:18" x14ac:dyDescent="0.2">
      <c r="F108" s="45"/>
      <c r="G108" s="45"/>
      <c r="H108" s="46"/>
      <c r="I108" s="46"/>
      <c r="J108" s="46"/>
      <c r="K108" s="46"/>
      <c r="L108" s="46"/>
      <c r="M108" s="46"/>
      <c r="N108" s="46"/>
      <c r="O108" s="45"/>
      <c r="P108" s="45"/>
      <c r="Q108" s="45"/>
      <c r="R108" s="45"/>
    </row>
    <row r="109" spans="6:18" x14ac:dyDescent="0.2">
      <c r="F109" s="45"/>
      <c r="G109" s="45"/>
      <c r="H109" s="46"/>
      <c r="I109" s="46"/>
      <c r="J109" s="46"/>
      <c r="K109" s="46"/>
      <c r="L109" s="46"/>
      <c r="M109" s="46"/>
      <c r="N109" s="46"/>
      <c r="O109" s="45"/>
      <c r="P109" s="45"/>
      <c r="Q109" s="45"/>
      <c r="R109" s="45"/>
    </row>
    <row r="110" spans="6:18" x14ac:dyDescent="0.2">
      <c r="F110" s="45"/>
      <c r="G110" s="45"/>
      <c r="H110" s="46"/>
      <c r="I110" s="46"/>
      <c r="J110" s="46"/>
      <c r="K110" s="46"/>
      <c r="L110" s="46"/>
      <c r="M110" s="46"/>
      <c r="N110" s="46"/>
      <c r="O110" s="45"/>
      <c r="P110" s="45"/>
      <c r="Q110" s="45"/>
      <c r="R110" s="45"/>
    </row>
    <row r="111" spans="6:18" x14ac:dyDescent="0.2">
      <c r="F111" s="45"/>
      <c r="G111" s="45"/>
      <c r="H111" s="46"/>
      <c r="I111" s="46"/>
      <c r="J111" s="46"/>
      <c r="K111" s="46"/>
      <c r="L111" s="46"/>
      <c r="M111" s="46"/>
      <c r="N111" s="46"/>
      <c r="O111" s="45"/>
      <c r="P111" s="45"/>
      <c r="Q111" s="45"/>
      <c r="R111" s="45"/>
    </row>
    <row r="112" spans="6:18" x14ac:dyDescent="0.2">
      <c r="F112" s="45"/>
      <c r="G112" s="45"/>
      <c r="H112" s="46"/>
      <c r="I112" s="46"/>
      <c r="J112" s="46"/>
      <c r="K112" s="46"/>
      <c r="L112" s="46"/>
      <c r="M112" s="46"/>
      <c r="N112" s="46"/>
      <c r="O112" s="45"/>
      <c r="P112" s="45"/>
      <c r="Q112" s="45"/>
      <c r="R112" s="45"/>
    </row>
    <row r="113" spans="6:18" x14ac:dyDescent="0.2">
      <c r="F113" s="45"/>
      <c r="G113" s="45"/>
      <c r="H113" s="46"/>
      <c r="I113" s="46"/>
      <c r="J113" s="46"/>
      <c r="K113" s="46"/>
      <c r="L113" s="46"/>
      <c r="M113" s="46"/>
      <c r="N113" s="46"/>
      <c r="O113" s="45"/>
      <c r="P113" s="45"/>
      <c r="Q113" s="45"/>
      <c r="R113" s="45"/>
    </row>
    <row r="114" spans="6:18" x14ac:dyDescent="0.2">
      <c r="F114" s="45"/>
      <c r="G114" s="45"/>
      <c r="H114" s="46"/>
      <c r="I114" s="46"/>
      <c r="J114" s="46"/>
      <c r="K114" s="46"/>
      <c r="L114" s="46"/>
      <c r="M114" s="46"/>
      <c r="N114" s="46"/>
      <c r="O114" s="45"/>
      <c r="P114" s="45"/>
      <c r="Q114" s="45"/>
      <c r="R114" s="45"/>
    </row>
    <row r="115" spans="6:18" x14ac:dyDescent="0.2">
      <c r="F115" s="45"/>
      <c r="G115" s="45"/>
      <c r="H115" s="46"/>
      <c r="I115" s="46"/>
      <c r="J115" s="46"/>
      <c r="K115" s="46"/>
      <c r="L115" s="46"/>
      <c r="M115" s="46"/>
      <c r="N115" s="46"/>
      <c r="O115" s="45"/>
      <c r="P115" s="45"/>
      <c r="Q115" s="45"/>
      <c r="R115" s="45"/>
    </row>
    <row r="116" spans="6:18" x14ac:dyDescent="0.2">
      <c r="F116" s="45"/>
      <c r="G116" s="45"/>
      <c r="H116" s="46"/>
      <c r="I116" s="46"/>
      <c r="J116" s="46"/>
      <c r="K116" s="46"/>
      <c r="L116" s="46"/>
      <c r="M116" s="46"/>
      <c r="N116" s="46"/>
      <c r="O116" s="45"/>
      <c r="P116" s="45"/>
      <c r="Q116" s="45"/>
      <c r="R116" s="45"/>
    </row>
    <row r="117" spans="6:18" x14ac:dyDescent="0.2">
      <c r="F117" s="45"/>
      <c r="G117" s="45"/>
      <c r="H117" s="46"/>
      <c r="I117" s="46"/>
      <c r="J117" s="46"/>
      <c r="K117" s="46"/>
      <c r="L117" s="46"/>
      <c r="M117" s="46"/>
      <c r="N117" s="46"/>
      <c r="O117" s="45"/>
      <c r="P117" s="45"/>
      <c r="Q117" s="45"/>
      <c r="R117" s="45"/>
    </row>
    <row r="118" spans="6:18" x14ac:dyDescent="0.2">
      <c r="F118" s="45"/>
      <c r="G118" s="45"/>
      <c r="H118" s="46"/>
      <c r="I118" s="46"/>
      <c r="J118" s="46"/>
      <c r="K118" s="46"/>
      <c r="L118" s="46"/>
      <c r="M118" s="46"/>
      <c r="N118" s="46"/>
      <c r="O118" s="45"/>
      <c r="P118" s="45"/>
      <c r="Q118" s="45"/>
      <c r="R118" s="45"/>
    </row>
    <row r="119" spans="6:18" x14ac:dyDescent="0.2">
      <c r="F119" s="45"/>
      <c r="G119" s="45"/>
      <c r="H119" s="46"/>
      <c r="I119" s="46"/>
      <c r="J119" s="46"/>
      <c r="K119" s="46"/>
      <c r="L119" s="46"/>
      <c r="M119" s="46"/>
      <c r="N119" s="46"/>
      <c r="O119" s="45"/>
      <c r="P119" s="45"/>
      <c r="Q119" s="45"/>
      <c r="R119" s="45"/>
    </row>
    <row r="120" spans="6:18" x14ac:dyDescent="0.2">
      <c r="F120" s="45"/>
      <c r="G120" s="45"/>
      <c r="H120" s="46"/>
      <c r="I120" s="46"/>
      <c r="J120" s="46"/>
      <c r="K120" s="46"/>
      <c r="L120" s="46"/>
      <c r="M120" s="46"/>
      <c r="N120" s="46"/>
      <c r="O120" s="45"/>
      <c r="P120" s="45"/>
      <c r="Q120" s="45"/>
      <c r="R120" s="45"/>
    </row>
    <row r="121" spans="6:18" x14ac:dyDescent="0.2">
      <c r="F121" s="45"/>
      <c r="G121" s="45"/>
      <c r="H121" s="46"/>
      <c r="I121" s="46"/>
      <c r="J121" s="46"/>
      <c r="K121" s="46"/>
      <c r="L121" s="46"/>
      <c r="M121" s="46"/>
      <c r="N121" s="46"/>
      <c r="O121" s="45"/>
      <c r="P121" s="45"/>
      <c r="Q121" s="45"/>
      <c r="R121" s="45"/>
    </row>
    <row r="122" spans="6:18" x14ac:dyDescent="0.2">
      <c r="F122" s="45"/>
      <c r="G122" s="45"/>
      <c r="H122" s="46"/>
      <c r="I122" s="46"/>
      <c r="J122" s="46"/>
      <c r="K122" s="46"/>
      <c r="L122" s="46"/>
      <c r="M122" s="46"/>
      <c r="N122" s="46"/>
      <c r="O122" s="45"/>
      <c r="P122" s="45"/>
      <c r="Q122" s="45"/>
      <c r="R122" s="45"/>
    </row>
    <row r="123" spans="6:18" x14ac:dyDescent="0.2">
      <c r="F123" s="45"/>
      <c r="G123" s="45"/>
      <c r="H123" s="46"/>
      <c r="I123" s="46"/>
      <c r="J123" s="46"/>
      <c r="K123" s="46"/>
      <c r="L123" s="46"/>
      <c r="M123" s="46"/>
      <c r="N123" s="46"/>
      <c r="O123" s="45"/>
      <c r="P123" s="45"/>
      <c r="Q123" s="45"/>
      <c r="R123" s="45"/>
    </row>
    <row r="124" spans="6:18" x14ac:dyDescent="0.2">
      <c r="F124" s="45"/>
      <c r="G124" s="45"/>
      <c r="H124" s="46"/>
      <c r="I124" s="46"/>
      <c r="J124" s="46"/>
      <c r="K124" s="46"/>
      <c r="L124" s="46"/>
      <c r="M124" s="46"/>
      <c r="N124" s="46"/>
      <c r="O124" s="45"/>
      <c r="P124" s="45"/>
      <c r="Q124" s="45"/>
      <c r="R124" s="45"/>
    </row>
    <row r="125" spans="6:18" x14ac:dyDescent="0.2">
      <c r="F125" s="45"/>
      <c r="G125" s="45"/>
      <c r="H125" s="46"/>
      <c r="I125" s="46"/>
      <c r="J125" s="46"/>
      <c r="K125" s="46"/>
      <c r="L125" s="46"/>
      <c r="M125" s="46"/>
      <c r="N125" s="46"/>
      <c r="O125" s="45"/>
      <c r="P125" s="45"/>
      <c r="Q125" s="45"/>
      <c r="R125" s="45"/>
    </row>
    <row r="126" spans="6:18" x14ac:dyDescent="0.2">
      <c r="F126" s="45"/>
      <c r="G126" s="45"/>
      <c r="H126" s="46"/>
      <c r="I126" s="46"/>
      <c r="J126" s="46"/>
      <c r="K126" s="46"/>
      <c r="L126" s="46"/>
      <c r="M126" s="46"/>
      <c r="N126" s="46"/>
      <c r="O126" s="45"/>
      <c r="P126" s="45"/>
      <c r="Q126" s="45"/>
      <c r="R126" s="45"/>
    </row>
    <row r="127" spans="6:18" x14ac:dyDescent="0.2">
      <c r="F127" s="45"/>
      <c r="G127" s="45"/>
      <c r="H127" s="46"/>
      <c r="I127" s="46"/>
      <c r="J127" s="46"/>
      <c r="K127" s="46"/>
      <c r="L127" s="46"/>
      <c r="M127" s="46"/>
      <c r="N127" s="46"/>
      <c r="O127" s="45"/>
      <c r="P127" s="45"/>
      <c r="Q127" s="45"/>
      <c r="R127" s="45"/>
    </row>
    <row r="128" spans="6:18" x14ac:dyDescent="0.2">
      <c r="F128" s="45"/>
      <c r="G128" s="45"/>
      <c r="H128" s="46"/>
      <c r="I128" s="46"/>
      <c r="J128" s="46"/>
      <c r="K128" s="46"/>
      <c r="L128" s="46"/>
      <c r="M128" s="46"/>
      <c r="N128" s="46"/>
      <c r="O128" s="45"/>
      <c r="P128" s="45"/>
      <c r="Q128" s="45"/>
      <c r="R128" s="45"/>
    </row>
    <row r="129" spans="6:18" x14ac:dyDescent="0.2">
      <c r="F129" s="45"/>
      <c r="G129" s="45"/>
      <c r="H129" s="46"/>
      <c r="I129" s="46"/>
      <c r="J129" s="46"/>
      <c r="K129" s="46"/>
      <c r="L129" s="46"/>
      <c r="M129" s="46"/>
      <c r="N129" s="46"/>
      <c r="O129" s="45"/>
      <c r="P129" s="45"/>
      <c r="Q129" s="45"/>
      <c r="R129" s="45"/>
    </row>
    <row r="130" spans="6:18" x14ac:dyDescent="0.2">
      <c r="F130" s="45"/>
      <c r="G130" s="45"/>
      <c r="H130" s="46"/>
      <c r="I130" s="46"/>
      <c r="J130" s="46"/>
      <c r="K130" s="46"/>
      <c r="L130" s="46"/>
      <c r="M130" s="46"/>
      <c r="N130" s="46"/>
      <c r="O130" s="45"/>
      <c r="P130" s="45"/>
      <c r="Q130" s="45"/>
      <c r="R130" s="45"/>
    </row>
    <row r="131" spans="6:18" x14ac:dyDescent="0.2">
      <c r="F131" s="45"/>
      <c r="G131" s="45"/>
      <c r="H131" s="46"/>
      <c r="I131" s="46"/>
      <c r="J131" s="46"/>
      <c r="K131" s="46"/>
      <c r="L131" s="46"/>
      <c r="M131" s="46"/>
      <c r="N131" s="46"/>
      <c r="O131" s="45"/>
      <c r="P131" s="45"/>
      <c r="Q131" s="45"/>
      <c r="R131" s="45"/>
    </row>
    <row r="132" spans="6:18" x14ac:dyDescent="0.2">
      <c r="F132" s="45"/>
      <c r="G132" s="45"/>
      <c r="H132" s="46"/>
      <c r="I132" s="46"/>
      <c r="J132" s="46"/>
      <c r="K132" s="46"/>
      <c r="L132" s="46"/>
      <c r="M132" s="46"/>
      <c r="N132" s="46"/>
      <c r="O132" s="45"/>
      <c r="P132" s="45"/>
      <c r="Q132" s="45"/>
      <c r="R132" s="45"/>
    </row>
    <row r="133" spans="6:18" x14ac:dyDescent="0.2">
      <c r="F133" s="45"/>
      <c r="G133" s="45"/>
      <c r="H133" s="46"/>
      <c r="I133" s="46"/>
      <c r="J133" s="46"/>
      <c r="K133" s="46"/>
      <c r="L133" s="46"/>
      <c r="M133" s="46"/>
      <c r="N133" s="46"/>
      <c r="O133" s="45"/>
      <c r="P133" s="45"/>
      <c r="Q133" s="45"/>
      <c r="R133" s="45"/>
    </row>
    <row r="134" spans="6:18" x14ac:dyDescent="0.2">
      <c r="F134" s="45"/>
      <c r="G134" s="45"/>
      <c r="H134" s="46"/>
      <c r="I134" s="46"/>
      <c r="J134" s="46"/>
      <c r="K134" s="46"/>
      <c r="L134" s="46"/>
      <c r="M134" s="46"/>
      <c r="N134" s="46"/>
      <c r="O134" s="45"/>
      <c r="P134" s="45"/>
      <c r="Q134" s="45"/>
      <c r="R134" s="45"/>
    </row>
    <row r="135" spans="6:18" x14ac:dyDescent="0.2">
      <c r="F135" s="45"/>
      <c r="G135" s="45"/>
      <c r="H135" s="46"/>
      <c r="I135" s="46"/>
      <c r="J135" s="46"/>
      <c r="K135" s="46"/>
      <c r="L135" s="46"/>
      <c r="M135" s="46"/>
      <c r="N135" s="46"/>
      <c r="O135" s="45"/>
      <c r="P135" s="45"/>
      <c r="Q135" s="45"/>
      <c r="R135" s="45"/>
    </row>
    <row r="136" spans="6:18" x14ac:dyDescent="0.2">
      <c r="F136" s="45"/>
      <c r="G136" s="45"/>
      <c r="H136" s="46"/>
      <c r="I136" s="46"/>
      <c r="J136" s="46"/>
      <c r="K136" s="46"/>
      <c r="L136" s="46"/>
      <c r="M136" s="46"/>
      <c r="N136" s="46"/>
      <c r="O136" s="45"/>
      <c r="P136" s="45"/>
      <c r="Q136" s="45"/>
      <c r="R136" s="45"/>
    </row>
    <row r="137" spans="6:18" x14ac:dyDescent="0.2">
      <c r="F137" s="45"/>
      <c r="G137" s="45"/>
      <c r="H137" s="46"/>
      <c r="I137" s="46"/>
      <c r="J137" s="46"/>
      <c r="K137" s="46"/>
      <c r="L137" s="46"/>
      <c r="M137" s="46"/>
      <c r="N137" s="46"/>
      <c r="O137" s="45"/>
      <c r="P137" s="45"/>
      <c r="Q137" s="45"/>
      <c r="R137" s="45"/>
    </row>
    <row r="138" spans="6:18" x14ac:dyDescent="0.2">
      <c r="F138" s="45"/>
      <c r="G138" s="45"/>
      <c r="H138" s="46"/>
      <c r="I138" s="46"/>
      <c r="J138" s="46"/>
      <c r="K138" s="46"/>
      <c r="L138" s="46"/>
      <c r="M138" s="46"/>
      <c r="N138" s="46"/>
      <c r="O138" s="45"/>
      <c r="P138" s="45"/>
      <c r="Q138" s="45"/>
      <c r="R138" s="45"/>
    </row>
    <row r="139" spans="6:18" x14ac:dyDescent="0.2">
      <c r="F139" s="45"/>
      <c r="G139" s="45"/>
      <c r="H139" s="46"/>
      <c r="I139" s="46"/>
      <c r="J139" s="46"/>
      <c r="K139" s="46"/>
      <c r="L139" s="46"/>
      <c r="M139" s="46"/>
      <c r="N139" s="46"/>
      <c r="O139" s="45"/>
      <c r="P139" s="45"/>
      <c r="Q139" s="45"/>
      <c r="R139" s="45"/>
    </row>
    <row r="140" spans="6:18" x14ac:dyDescent="0.2">
      <c r="F140" s="45"/>
      <c r="G140" s="45"/>
      <c r="H140" s="46"/>
      <c r="I140" s="46"/>
      <c r="J140" s="46"/>
      <c r="K140" s="46"/>
      <c r="L140" s="46"/>
      <c r="M140" s="46"/>
      <c r="N140" s="46"/>
      <c r="O140" s="45"/>
      <c r="P140" s="45"/>
      <c r="Q140" s="45"/>
      <c r="R140" s="45"/>
    </row>
    <row r="141" spans="6:18" x14ac:dyDescent="0.2">
      <c r="F141" s="45"/>
      <c r="G141" s="45"/>
      <c r="H141" s="46"/>
      <c r="I141" s="46"/>
      <c r="J141" s="46"/>
      <c r="K141" s="46"/>
      <c r="L141" s="46"/>
      <c r="M141" s="46"/>
      <c r="N141" s="46"/>
      <c r="O141" s="45"/>
      <c r="P141" s="45"/>
      <c r="Q141" s="45"/>
      <c r="R141" s="45"/>
    </row>
    <row r="142" spans="6:18" x14ac:dyDescent="0.2">
      <c r="F142" s="45"/>
      <c r="G142" s="45"/>
      <c r="H142" s="46"/>
      <c r="I142" s="46"/>
      <c r="J142" s="46"/>
      <c r="K142" s="46"/>
      <c r="L142" s="46"/>
      <c r="M142" s="46"/>
      <c r="N142" s="46"/>
      <c r="O142" s="45"/>
      <c r="P142" s="45"/>
      <c r="Q142" s="45"/>
      <c r="R142" s="45"/>
    </row>
    <row r="143" spans="6:18" x14ac:dyDescent="0.2">
      <c r="F143" s="45"/>
      <c r="G143" s="45"/>
      <c r="H143" s="46"/>
      <c r="I143" s="46"/>
      <c r="J143" s="46"/>
      <c r="K143" s="46"/>
      <c r="L143" s="46"/>
      <c r="M143" s="46"/>
      <c r="N143" s="46"/>
      <c r="O143" s="45"/>
      <c r="P143" s="45"/>
      <c r="Q143" s="45"/>
      <c r="R143" s="45"/>
    </row>
    <row r="144" spans="6:18" x14ac:dyDescent="0.2">
      <c r="F144" s="45"/>
      <c r="G144" s="45"/>
      <c r="H144" s="46"/>
      <c r="I144" s="46"/>
      <c r="J144" s="46"/>
      <c r="K144" s="46"/>
      <c r="L144" s="46"/>
      <c r="M144" s="46"/>
      <c r="N144" s="46"/>
      <c r="O144" s="45"/>
      <c r="P144" s="45"/>
      <c r="Q144" s="45"/>
      <c r="R144" s="45"/>
    </row>
    <row r="145" spans="6:18" x14ac:dyDescent="0.2">
      <c r="F145" s="45"/>
      <c r="G145" s="45"/>
      <c r="H145" s="46"/>
      <c r="I145" s="46"/>
      <c r="J145" s="46"/>
      <c r="K145" s="46"/>
      <c r="L145" s="46"/>
      <c r="M145" s="46"/>
      <c r="N145" s="46"/>
      <c r="O145" s="45"/>
      <c r="P145" s="45"/>
      <c r="Q145" s="45"/>
      <c r="R145" s="45"/>
    </row>
    <row r="146" spans="6:18" x14ac:dyDescent="0.2">
      <c r="F146" s="45"/>
      <c r="G146" s="45"/>
      <c r="H146" s="46"/>
      <c r="I146" s="46"/>
      <c r="J146" s="46"/>
      <c r="K146" s="46"/>
      <c r="L146" s="46"/>
      <c r="M146" s="46"/>
      <c r="N146" s="46"/>
      <c r="O146" s="45"/>
      <c r="P146" s="45"/>
      <c r="Q146" s="45"/>
      <c r="R146" s="45"/>
    </row>
    <row r="147" spans="6:18" x14ac:dyDescent="0.2">
      <c r="F147" s="45"/>
      <c r="G147" s="45"/>
      <c r="H147" s="46"/>
      <c r="I147" s="46"/>
      <c r="J147" s="46"/>
      <c r="K147" s="46"/>
      <c r="L147" s="46"/>
      <c r="M147" s="46"/>
      <c r="N147" s="46"/>
      <c r="O147" s="45"/>
      <c r="P147" s="45"/>
      <c r="Q147" s="45"/>
      <c r="R147" s="45"/>
    </row>
    <row r="148" spans="6:18" x14ac:dyDescent="0.2">
      <c r="F148" s="45"/>
      <c r="G148" s="45"/>
      <c r="H148" s="46"/>
      <c r="I148" s="46"/>
      <c r="J148" s="46"/>
      <c r="K148" s="46"/>
      <c r="L148" s="46"/>
      <c r="M148" s="46"/>
      <c r="N148" s="46"/>
      <c r="O148" s="45"/>
      <c r="P148" s="45"/>
      <c r="Q148" s="45"/>
      <c r="R148" s="45"/>
    </row>
    <row r="149" spans="6:18" x14ac:dyDescent="0.2">
      <c r="F149" s="45"/>
      <c r="G149" s="45"/>
      <c r="H149" s="46"/>
      <c r="I149" s="46"/>
      <c r="J149" s="46"/>
      <c r="K149" s="46"/>
      <c r="L149" s="46"/>
      <c r="M149" s="46"/>
      <c r="N149" s="46"/>
      <c r="O149" s="45"/>
      <c r="P149" s="45"/>
      <c r="Q149" s="45"/>
      <c r="R149" s="45"/>
    </row>
    <row r="150" spans="6:18" x14ac:dyDescent="0.2">
      <c r="F150" s="45"/>
      <c r="G150" s="45"/>
      <c r="H150" s="46"/>
      <c r="I150" s="46"/>
      <c r="J150" s="46"/>
      <c r="K150" s="46"/>
      <c r="L150" s="46"/>
      <c r="M150" s="46"/>
      <c r="N150" s="46"/>
      <c r="O150" s="45"/>
      <c r="P150" s="45"/>
      <c r="Q150" s="45"/>
      <c r="R150" s="45"/>
    </row>
    <row r="151" spans="6:18" x14ac:dyDescent="0.2">
      <c r="F151" s="45"/>
      <c r="G151" s="45"/>
      <c r="H151" s="46"/>
      <c r="I151" s="46"/>
      <c r="J151" s="46"/>
      <c r="K151" s="46"/>
      <c r="L151" s="46"/>
      <c r="M151" s="46"/>
      <c r="N151" s="46"/>
      <c r="O151" s="45"/>
      <c r="P151" s="45"/>
      <c r="Q151" s="45"/>
      <c r="R151" s="45"/>
    </row>
    <row r="152" spans="6:18" x14ac:dyDescent="0.2">
      <c r="F152" s="45"/>
      <c r="G152" s="45"/>
      <c r="H152" s="46"/>
      <c r="I152" s="46"/>
      <c r="J152" s="46"/>
      <c r="K152" s="46"/>
      <c r="L152" s="46"/>
      <c r="M152" s="46"/>
      <c r="N152" s="46"/>
      <c r="O152" s="45"/>
      <c r="P152" s="45"/>
      <c r="Q152" s="45"/>
      <c r="R152" s="45"/>
    </row>
    <row r="153" spans="6:18" x14ac:dyDescent="0.2">
      <c r="F153" s="45"/>
      <c r="G153" s="45"/>
      <c r="H153" s="46"/>
      <c r="I153" s="46"/>
      <c r="J153" s="46"/>
      <c r="K153" s="46"/>
      <c r="L153" s="46"/>
      <c r="M153" s="46"/>
      <c r="N153" s="46"/>
      <c r="O153" s="45"/>
      <c r="P153" s="45"/>
      <c r="Q153" s="45"/>
      <c r="R153" s="45"/>
    </row>
    <row r="154" spans="6:18" x14ac:dyDescent="0.2">
      <c r="F154" s="45"/>
      <c r="G154" s="45"/>
      <c r="H154" s="46"/>
      <c r="I154" s="46"/>
      <c r="J154" s="46"/>
      <c r="K154" s="46"/>
      <c r="L154" s="46"/>
      <c r="M154" s="46"/>
      <c r="N154" s="46"/>
      <c r="O154" s="45"/>
      <c r="P154" s="45"/>
      <c r="Q154" s="45"/>
      <c r="R154" s="45"/>
    </row>
    <row r="155" spans="6:18" x14ac:dyDescent="0.2">
      <c r="F155" s="45"/>
      <c r="G155" s="45"/>
      <c r="H155" s="46"/>
      <c r="I155" s="46"/>
      <c r="J155" s="46"/>
      <c r="K155" s="46"/>
      <c r="L155" s="46"/>
      <c r="M155" s="46"/>
      <c r="N155" s="46"/>
      <c r="O155" s="45"/>
      <c r="P155" s="45"/>
      <c r="Q155" s="45"/>
      <c r="R155" s="45"/>
    </row>
    <row r="156" spans="6:18" x14ac:dyDescent="0.2">
      <c r="F156" s="45"/>
      <c r="G156" s="45"/>
      <c r="H156" s="46"/>
      <c r="I156" s="46"/>
      <c r="J156" s="46"/>
      <c r="K156" s="46"/>
      <c r="L156" s="46"/>
      <c r="M156" s="46"/>
      <c r="N156" s="46"/>
      <c r="O156" s="45"/>
      <c r="P156" s="45"/>
      <c r="Q156" s="45"/>
      <c r="R156" s="45"/>
    </row>
    <row r="157" spans="6:18" x14ac:dyDescent="0.2">
      <c r="F157" s="45"/>
      <c r="G157" s="45"/>
      <c r="H157" s="46"/>
      <c r="I157" s="46"/>
      <c r="J157" s="46"/>
      <c r="K157" s="46"/>
      <c r="L157" s="46"/>
      <c r="M157" s="46"/>
      <c r="N157" s="46"/>
      <c r="O157" s="45"/>
      <c r="P157" s="45"/>
      <c r="Q157" s="45"/>
      <c r="R157" s="45"/>
    </row>
    <row r="158" spans="6:18" x14ac:dyDescent="0.2">
      <c r="F158" s="45"/>
      <c r="G158" s="45"/>
      <c r="H158" s="46"/>
      <c r="I158" s="46"/>
      <c r="J158" s="46"/>
      <c r="K158" s="46"/>
      <c r="L158" s="46"/>
      <c r="M158" s="46"/>
      <c r="N158" s="46"/>
      <c r="O158" s="45"/>
      <c r="P158" s="45"/>
      <c r="Q158" s="45"/>
      <c r="R158" s="45"/>
    </row>
    <row r="159" spans="6:18" x14ac:dyDescent="0.2">
      <c r="F159" s="45"/>
      <c r="G159" s="45"/>
      <c r="H159" s="46"/>
      <c r="I159" s="46"/>
      <c r="J159" s="46"/>
      <c r="K159" s="46"/>
      <c r="L159" s="46"/>
      <c r="M159" s="46"/>
      <c r="N159" s="46"/>
      <c r="O159" s="45"/>
      <c r="P159" s="45"/>
      <c r="Q159" s="45"/>
      <c r="R159" s="45"/>
    </row>
    <row r="160" spans="6:18" x14ac:dyDescent="0.2">
      <c r="F160" s="45"/>
      <c r="G160" s="45"/>
      <c r="H160" s="46"/>
      <c r="I160" s="46"/>
      <c r="J160" s="46"/>
      <c r="K160" s="46"/>
      <c r="L160" s="46"/>
      <c r="M160" s="46"/>
      <c r="N160" s="46"/>
      <c r="O160" s="45"/>
      <c r="P160" s="45"/>
      <c r="Q160" s="45"/>
      <c r="R160" s="45"/>
    </row>
    <row r="161" spans="6:18" x14ac:dyDescent="0.2">
      <c r="F161" s="45"/>
      <c r="G161" s="45"/>
      <c r="H161" s="46"/>
      <c r="I161" s="46"/>
      <c r="J161" s="46"/>
      <c r="K161" s="46"/>
      <c r="L161" s="46"/>
      <c r="M161" s="46"/>
      <c r="N161" s="46"/>
      <c r="O161" s="45"/>
      <c r="P161" s="45"/>
      <c r="Q161" s="45"/>
      <c r="R161" s="45"/>
    </row>
    <row r="162" spans="6:18" x14ac:dyDescent="0.2">
      <c r="F162" s="45"/>
      <c r="G162" s="45"/>
      <c r="H162" s="46"/>
      <c r="I162" s="46"/>
      <c r="J162" s="46"/>
      <c r="K162" s="46"/>
      <c r="L162" s="46"/>
      <c r="M162" s="46"/>
      <c r="N162" s="46"/>
      <c r="O162" s="45"/>
      <c r="P162" s="45"/>
      <c r="Q162" s="45"/>
      <c r="R162" s="45"/>
    </row>
    <row r="163" spans="6:18" x14ac:dyDescent="0.2">
      <c r="F163" s="45"/>
      <c r="G163" s="45"/>
      <c r="H163" s="46"/>
      <c r="I163" s="46"/>
      <c r="J163" s="46"/>
      <c r="K163" s="46"/>
      <c r="L163" s="46"/>
      <c r="M163" s="46"/>
      <c r="N163" s="46"/>
      <c r="O163" s="45"/>
      <c r="P163" s="45"/>
      <c r="Q163" s="45"/>
      <c r="R163" s="45"/>
    </row>
    <row r="164" spans="6:18" x14ac:dyDescent="0.2">
      <c r="F164" s="45"/>
      <c r="G164" s="45"/>
      <c r="H164" s="46"/>
      <c r="I164" s="46"/>
      <c r="J164" s="46"/>
      <c r="K164" s="46"/>
      <c r="L164" s="46"/>
      <c r="M164" s="46"/>
      <c r="N164" s="46"/>
      <c r="O164" s="45"/>
      <c r="P164" s="45"/>
      <c r="Q164" s="45"/>
      <c r="R164" s="45"/>
    </row>
    <row r="165" spans="6:18" x14ac:dyDescent="0.2">
      <c r="F165" s="45"/>
      <c r="G165" s="45"/>
      <c r="H165" s="46"/>
      <c r="I165" s="46"/>
      <c r="J165" s="46"/>
      <c r="K165" s="46"/>
      <c r="L165" s="46"/>
      <c r="M165" s="46"/>
      <c r="N165" s="46"/>
      <c r="O165" s="45"/>
      <c r="P165" s="45"/>
      <c r="Q165" s="45"/>
      <c r="R165" s="45"/>
    </row>
    <row r="166" spans="6:18" x14ac:dyDescent="0.2">
      <c r="F166" s="45"/>
      <c r="G166" s="45"/>
      <c r="H166" s="46"/>
      <c r="I166" s="46"/>
      <c r="J166" s="46"/>
      <c r="K166" s="46"/>
      <c r="L166" s="46"/>
      <c r="M166" s="46"/>
      <c r="N166" s="46"/>
      <c r="O166" s="45"/>
      <c r="P166" s="45"/>
      <c r="Q166" s="45"/>
      <c r="R166" s="45"/>
    </row>
    <row r="167" spans="6:18" x14ac:dyDescent="0.2">
      <c r="F167" s="45"/>
      <c r="G167" s="45"/>
      <c r="H167" s="46"/>
      <c r="I167" s="46"/>
      <c r="J167" s="46"/>
      <c r="K167" s="46"/>
      <c r="L167" s="46"/>
      <c r="M167" s="46"/>
      <c r="N167" s="46"/>
      <c r="O167" s="45"/>
      <c r="P167" s="45"/>
      <c r="Q167" s="45"/>
      <c r="R167" s="45"/>
    </row>
    <row r="168" spans="6:18" x14ac:dyDescent="0.2">
      <c r="F168" s="45"/>
      <c r="G168" s="45"/>
      <c r="H168" s="46"/>
      <c r="I168" s="46"/>
      <c r="J168" s="46"/>
      <c r="K168" s="46"/>
      <c r="L168" s="46"/>
      <c r="M168" s="46"/>
      <c r="N168" s="46"/>
      <c r="O168" s="45"/>
      <c r="P168" s="45"/>
      <c r="Q168" s="45"/>
      <c r="R168" s="45"/>
    </row>
    <row r="169" spans="6:18" x14ac:dyDescent="0.2">
      <c r="F169" s="45"/>
      <c r="G169" s="45"/>
      <c r="H169" s="46"/>
      <c r="I169" s="46"/>
      <c r="J169" s="46"/>
      <c r="K169" s="46"/>
      <c r="L169" s="46"/>
      <c r="M169" s="46"/>
      <c r="N169" s="46"/>
      <c r="O169" s="45"/>
      <c r="P169" s="45"/>
      <c r="Q169" s="45"/>
      <c r="R169" s="45"/>
    </row>
    <row r="170" spans="6:18" x14ac:dyDescent="0.2">
      <c r="F170" s="45"/>
      <c r="G170" s="45"/>
      <c r="H170" s="46"/>
      <c r="I170" s="46"/>
      <c r="J170" s="46"/>
      <c r="K170" s="46"/>
      <c r="L170" s="46"/>
      <c r="M170" s="46"/>
      <c r="N170" s="46"/>
      <c r="O170" s="45"/>
      <c r="P170" s="45"/>
      <c r="Q170" s="45"/>
      <c r="R170" s="45"/>
    </row>
    <row r="171" spans="6:18" x14ac:dyDescent="0.2">
      <c r="F171" s="45"/>
      <c r="G171" s="45"/>
      <c r="H171" s="46"/>
      <c r="I171" s="46"/>
      <c r="J171" s="46"/>
      <c r="K171" s="46"/>
      <c r="L171" s="46"/>
      <c r="M171" s="46"/>
      <c r="N171" s="46"/>
      <c r="O171" s="45"/>
      <c r="P171" s="45"/>
      <c r="Q171" s="45"/>
      <c r="R171" s="45"/>
    </row>
    <row r="172" spans="6:18" x14ac:dyDescent="0.2">
      <c r="F172" s="45"/>
      <c r="G172" s="45"/>
      <c r="H172" s="46"/>
      <c r="I172" s="46"/>
      <c r="J172" s="46"/>
      <c r="K172" s="46"/>
      <c r="L172" s="46"/>
      <c r="M172" s="46"/>
      <c r="N172" s="46"/>
      <c r="O172" s="45"/>
      <c r="P172" s="45"/>
      <c r="Q172" s="45"/>
      <c r="R172" s="45"/>
    </row>
    <row r="173" spans="6:18" x14ac:dyDescent="0.2">
      <c r="F173" s="45"/>
      <c r="G173" s="45"/>
      <c r="H173" s="46"/>
      <c r="I173" s="46"/>
      <c r="J173" s="46"/>
      <c r="K173" s="46"/>
      <c r="L173" s="46"/>
      <c r="M173" s="46"/>
      <c r="N173" s="46"/>
      <c r="O173" s="45"/>
      <c r="P173" s="45"/>
      <c r="Q173" s="45"/>
      <c r="R173" s="45"/>
    </row>
    <row r="174" spans="6:18" x14ac:dyDescent="0.2">
      <c r="F174" s="10"/>
      <c r="G174" s="10"/>
      <c r="H174" s="26"/>
      <c r="I174" s="26"/>
      <c r="J174" s="26"/>
      <c r="K174" s="26"/>
      <c r="L174" s="26"/>
      <c r="M174" s="26"/>
      <c r="N174" s="26"/>
      <c r="O174" s="10"/>
      <c r="P174" s="10"/>
      <c r="Q174" s="10"/>
      <c r="R174" s="10"/>
    </row>
    <row r="175" spans="6:18" x14ac:dyDescent="0.2">
      <c r="F175" s="10"/>
      <c r="G175" s="10"/>
      <c r="H175" s="26"/>
      <c r="I175" s="26"/>
      <c r="J175" s="26"/>
      <c r="K175" s="26"/>
      <c r="L175" s="26"/>
      <c r="M175" s="26"/>
      <c r="N175" s="26"/>
      <c r="O175" s="10"/>
      <c r="P175" s="10"/>
      <c r="Q175" s="10"/>
      <c r="R175" s="10"/>
    </row>
    <row r="176" spans="6:18" x14ac:dyDescent="0.2">
      <c r="F176" s="10"/>
      <c r="G176" s="10"/>
      <c r="H176" s="26"/>
      <c r="I176" s="26"/>
      <c r="J176" s="26"/>
      <c r="K176" s="26"/>
      <c r="L176" s="26"/>
      <c r="M176" s="26"/>
      <c r="N176" s="26"/>
      <c r="O176" s="10"/>
      <c r="P176" s="10"/>
      <c r="Q176" s="10"/>
      <c r="R176" s="10"/>
    </row>
    <row r="177" spans="6:18" x14ac:dyDescent="0.2">
      <c r="F177" s="10"/>
      <c r="G177" s="10"/>
      <c r="H177" s="26"/>
      <c r="I177" s="26"/>
      <c r="J177" s="26"/>
      <c r="K177" s="26"/>
      <c r="L177" s="26"/>
      <c r="M177" s="26"/>
      <c r="N177" s="26"/>
      <c r="O177" s="10"/>
      <c r="P177" s="10"/>
      <c r="Q177" s="10"/>
      <c r="R177" s="10"/>
    </row>
    <row r="178" spans="6:18" x14ac:dyDescent="0.2">
      <c r="F178" s="10"/>
      <c r="G178" s="10"/>
      <c r="H178" s="26"/>
      <c r="I178" s="26"/>
      <c r="J178" s="26"/>
      <c r="K178" s="26"/>
      <c r="L178" s="26"/>
      <c r="M178" s="26"/>
      <c r="N178" s="26"/>
      <c r="O178" s="10"/>
      <c r="P178" s="10"/>
      <c r="Q178" s="10"/>
      <c r="R178" s="10"/>
    </row>
    <row r="179" spans="6:18" x14ac:dyDescent="0.2">
      <c r="F179" s="10"/>
      <c r="G179" s="10"/>
      <c r="H179" s="26"/>
      <c r="I179" s="26"/>
      <c r="J179" s="26"/>
      <c r="K179" s="26"/>
      <c r="L179" s="26"/>
      <c r="M179" s="26"/>
      <c r="N179" s="26"/>
      <c r="O179" s="10"/>
      <c r="P179" s="10"/>
      <c r="Q179" s="10"/>
      <c r="R179" s="10"/>
    </row>
    <row r="180" spans="6:18" x14ac:dyDescent="0.2">
      <c r="F180" s="10"/>
      <c r="G180" s="10"/>
      <c r="H180" s="26"/>
      <c r="I180" s="26"/>
      <c r="J180" s="26"/>
      <c r="K180" s="26"/>
      <c r="L180" s="26"/>
      <c r="M180" s="26"/>
      <c r="N180" s="26"/>
      <c r="O180" s="10"/>
      <c r="P180" s="10"/>
      <c r="Q180" s="10"/>
      <c r="R180" s="10"/>
    </row>
    <row r="181" spans="6:18" x14ac:dyDescent="0.2">
      <c r="F181" s="10"/>
      <c r="G181" s="10"/>
      <c r="H181" s="26"/>
      <c r="I181" s="26"/>
      <c r="J181" s="26"/>
      <c r="K181" s="26"/>
      <c r="L181" s="26"/>
      <c r="M181" s="26"/>
      <c r="N181" s="26"/>
      <c r="O181" s="10"/>
      <c r="P181" s="10"/>
      <c r="Q181" s="10"/>
      <c r="R181" s="10"/>
    </row>
    <row r="182" spans="6:18" x14ac:dyDescent="0.2">
      <c r="F182" s="10"/>
      <c r="G182" s="10"/>
      <c r="H182" s="26"/>
      <c r="I182" s="26"/>
      <c r="J182" s="26"/>
      <c r="K182" s="26"/>
      <c r="L182" s="26"/>
      <c r="M182" s="26"/>
      <c r="N182" s="26"/>
      <c r="O182" s="10"/>
      <c r="P182" s="10"/>
      <c r="Q182" s="10"/>
      <c r="R182" s="10"/>
    </row>
    <row r="183" spans="6:18" x14ac:dyDescent="0.2">
      <c r="F183" s="10"/>
      <c r="G183" s="10"/>
      <c r="H183" s="26"/>
      <c r="I183" s="26"/>
      <c r="J183" s="26"/>
      <c r="K183" s="26"/>
      <c r="L183" s="26"/>
      <c r="M183" s="26"/>
      <c r="N183" s="26"/>
      <c r="O183" s="10"/>
      <c r="P183" s="10"/>
      <c r="Q183" s="10"/>
      <c r="R183" s="10"/>
    </row>
    <row r="184" spans="6:18" x14ac:dyDescent="0.2">
      <c r="F184" s="10"/>
      <c r="G184" s="10"/>
      <c r="H184" s="26"/>
      <c r="I184" s="26"/>
      <c r="J184" s="26"/>
      <c r="K184" s="26"/>
      <c r="L184" s="26"/>
      <c r="M184" s="26"/>
      <c r="N184" s="26"/>
      <c r="O184" s="10"/>
      <c r="P184" s="10"/>
      <c r="Q184" s="10"/>
      <c r="R184" s="10"/>
    </row>
    <row r="185" spans="6:18" x14ac:dyDescent="0.2">
      <c r="F185" s="10"/>
      <c r="G185" s="10"/>
      <c r="H185" s="26"/>
      <c r="I185" s="26"/>
      <c r="J185" s="26"/>
      <c r="K185" s="26"/>
      <c r="L185" s="26"/>
      <c r="M185" s="26"/>
      <c r="N185" s="26"/>
      <c r="O185" s="10"/>
      <c r="P185" s="10"/>
      <c r="Q185" s="10"/>
      <c r="R185" s="10"/>
    </row>
    <row r="186" spans="6:18" x14ac:dyDescent="0.2">
      <c r="F186" s="10"/>
      <c r="G186" s="10"/>
      <c r="H186" s="26"/>
      <c r="I186" s="26"/>
      <c r="J186" s="26"/>
      <c r="K186" s="26"/>
      <c r="L186" s="26"/>
      <c r="M186" s="26"/>
      <c r="N186" s="26"/>
      <c r="O186" s="10"/>
      <c r="P186" s="10"/>
      <c r="Q186" s="10"/>
      <c r="R186" s="10"/>
    </row>
    <row r="187" spans="6:18" x14ac:dyDescent="0.2">
      <c r="F187" s="10"/>
      <c r="G187" s="10"/>
      <c r="H187" s="26"/>
      <c r="I187" s="26"/>
      <c r="J187" s="26"/>
      <c r="K187" s="26"/>
      <c r="L187" s="26"/>
      <c r="M187" s="26"/>
      <c r="N187" s="26"/>
      <c r="O187" s="10"/>
      <c r="P187" s="10"/>
      <c r="Q187" s="10"/>
      <c r="R187" s="10"/>
    </row>
    <row r="188" spans="6:18" x14ac:dyDescent="0.2">
      <c r="F188" s="10"/>
      <c r="G188" s="10"/>
      <c r="H188" s="26"/>
      <c r="I188" s="26"/>
      <c r="J188" s="26"/>
      <c r="K188" s="26"/>
      <c r="L188" s="26"/>
      <c r="M188" s="26"/>
      <c r="N188" s="26"/>
      <c r="O188" s="10"/>
      <c r="P188" s="10"/>
      <c r="Q188" s="10"/>
      <c r="R188" s="10"/>
    </row>
    <row r="189" spans="6:18" x14ac:dyDescent="0.2">
      <c r="H189" s="15"/>
      <c r="I189" s="15"/>
      <c r="J189" s="15"/>
      <c r="K189" s="15"/>
      <c r="L189" s="15"/>
      <c r="M189" s="15"/>
      <c r="N189" s="15"/>
    </row>
    <row r="190" spans="6:18" x14ac:dyDescent="0.2">
      <c r="H190" s="15"/>
      <c r="I190" s="15"/>
      <c r="J190" s="15"/>
      <c r="K190" s="15"/>
      <c r="L190" s="15"/>
      <c r="M190" s="15"/>
      <c r="N190" s="15"/>
    </row>
    <row r="191" spans="6:18" x14ac:dyDescent="0.2">
      <c r="H191" s="15"/>
      <c r="I191" s="15"/>
      <c r="J191" s="15"/>
      <c r="K191" s="15"/>
      <c r="L191" s="15"/>
      <c r="M191" s="15"/>
      <c r="N191" s="15"/>
    </row>
    <row r="192" spans="6:18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2">
    <mergeCell ref="B17:C17"/>
    <mergeCell ref="B10:C10"/>
    <mergeCell ref="B11:C11"/>
    <mergeCell ref="A3:R3"/>
    <mergeCell ref="B12:C12"/>
    <mergeCell ref="B13:C13"/>
    <mergeCell ref="A2:P2"/>
    <mergeCell ref="A4:P4"/>
    <mergeCell ref="B7:C7"/>
    <mergeCell ref="B8:C8"/>
    <mergeCell ref="B9:C9"/>
    <mergeCell ref="B6:C6"/>
  </mergeCells>
  <pageMargins left="0.19685039370078741" right="0.19685039370078741" top="0.27559055118110237" bottom="0.35433070866141736" header="0.15748031496062992" footer="0.23622047244094491"/>
  <pageSetup paperSize="8" scale="5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30E3-C208-47D9-8E8B-D7362A193A12}">
  <sheetPr>
    <pageSetUpPr fitToPage="1"/>
  </sheetPr>
  <dimension ref="A2:Q1011"/>
  <sheetViews>
    <sheetView tabSelected="1"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3" sqref="L23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5.7109375" style="1" customWidth="1"/>
    <col min="4" max="4" width="17.5703125" style="1" hidden="1" customWidth="1"/>
    <col min="5" max="5" width="2.5703125" style="1" hidden="1" customWidth="1"/>
    <col min="6" max="6" width="22.85546875" style="1" customWidth="1"/>
    <col min="7" max="7" width="24.85546875" style="1" customWidth="1"/>
    <col min="8" max="8" width="23.28515625" style="1" customWidth="1"/>
    <col min="9" max="10" width="24.28515625" style="1" customWidth="1"/>
    <col min="11" max="11" width="25.5703125" style="1" customWidth="1"/>
    <col min="12" max="13" width="25.28515625" style="1" customWidth="1"/>
    <col min="14" max="14" width="24.42578125" style="1" customWidth="1"/>
    <col min="15" max="15" width="23" style="1" customWidth="1"/>
    <col min="16" max="16" width="18.7109375" style="1" bestFit="1" customWidth="1"/>
    <col min="17" max="16384" width="9.140625" style="1"/>
  </cols>
  <sheetData>
    <row r="2" spans="1:16" ht="20.25" x14ac:dyDescent="0.3">
      <c r="A2" s="83" t="s">
        <v>117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ht="30.75" customHeight="1" x14ac:dyDescent="0.3">
      <c r="A3" s="89" t="s">
        <v>118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6" ht="15.75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6" ht="18.75" x14ac:dyDescent="0.3">
      <c r="H5" s="18"/>
      <c r="J5" s="18"/>
      <c r="L5" s="18"/>
      <c r="M5" s="72"/>
      <c r="N5" s="72"/>
      <c r="O5" s="77" t="s">
        <v>115</v>
      </c>
    </row>
    <row r="6" spans="1:16" ht="133.5" customHeight="1" x14ac:dyDescent="0.2">
      <c r="A6" s="2" t="s">
        <v>0</v>
      </c>
      <c r="B6" s="85"/>
      <c r="C6" s="86"/>
      <c r="D6" s="2" t="s">
        <v>3</v>
      </c>
      <c r="E6" s="2" t="s">
        <v>4</v>
      </c>
      <c r="F6" s="56" t="s">
        <v>119</v>
      </c>
      <c r="G6" s="56" t="s">
        <v>120</v>
      </c>
      <c r="H6" s="3" t="s">
        <v>5</v>
      </c>
      <c r="I6" s="56" t="s">
        <v>121</v>
      </c>
      <c r="J6" s="3" t="s">
        <v>5</v>
      </c>
      <c r="K6" s="56" t="s">
        <v>122</v>
      </c>
      <c r="L6" s="3" t="s">
        <v>5</v>
      </c>
      <c r="M6" s="56" t="s">
        <v>123</v>
      </c>
      <c r="N6" s="3" t="s">
        <v>5</v>
      </c>
      <c r="O6" s="3" t="s">
        <v>126</v>
      </c>
    </row>
    <row r="7" spans="1:16" ht="22.15" customHeight="1" x14ac:dyDescent="0.2">
      <c r="A7" s="27" t="s">
        <v>96</v>
      </c>
      <c r="B7" s="85"/>
      <c r="C7" s="86"/>
      <c r="D7" s="2"/>
      <c r="E7" s="2"/>
      <c r="F7" s="51">
        <v>72823301834.990005</v>
      </c>
      <c r="G7" s="51">
        <v>73316195334.990005</v>
      </c>
      <c r="H7" s="52">
        <f t="shared" ref="H7:H15" si="0">G7-F7</f>
        <v>492893500</v>
      </c>
      <c r="I7" s="51">
        <v>80560398278.130005</v>
      </c>
      <c r="J7" s="52">
        <f t="shared" ref="J7:J15" si="1">I7-G7</f>
        <v>7244202943.1399994</v>
      </c>
      <c r="K7" s="51">
        <v>85371057264.479996</v>
      </c>
      <c r="L7" s="52">
        <f>K7-I7</f>
        <v>4810658986.3499908</v>
      </c>
      <c r="M7" s="51">
        <v>87304217349.690002</v>
      </c>
      <c r="N7" s="52">
        <f>M7-K7</f>
        <v>1933160085.2100067</v>
      </c>
      <c r="O7" s="52">
        <f>M7-F7</f>
        <v>14480915514.699997</v>
      </c>
    </row>
    <row r="8" spans="1:16" ht="18.600000000000001" customHeight="1" x14ac:dyDescent="0.2">
      <c r="A8" s="50" t="s">
        <v>97</v>
      </c>
      <c r="B8" s="85"/>
      <c r="C8" s="86"/>
      <c r="D8" s="2"/>
      <c r="E8" s="2"/>
      <c r="F8" s="51">
        <f>F7-F9</f>
        <v>55034846666.300003</v>
      </c>
      <c r="G8" s="51">
        <f>G7-G9</f>
        <v>55034846666.300003</v>
      </c>
      <c r="H8" s="52">
        <f t="shared" si="0"/>
        <v>0</v>
      </c>
      <c r="I8" s="51">
        <f>I7-I9</f>
        <v>61034846666.300003</v>
      </c>
      <c r="J8" s="52">
        <f t="shared" si="1"/>
        <v>6000000000</v>
      </c>
      <c r="K8" s="51">
        <f>K7-K9</f>
        <v>63034846666.299995</v>
      </c>
      <c r="L8" s="52">
        <f t="shared" ref="L8:L15" si="2">K8-I8</f>
        <v>1999999999.9999924</v>
      </c>
      <c r="M8" s="51">
        <f>M7-M9</f>
        <v>65034846666.300003</v>
      </c>
      <c r="N8" s="52">
        <f t="shared" ref="N8:N15" si="3">M8-K8</f>
        <v>2000000000.0000076</v>
      </c>
      <c r="O8" s="52">
        <f t="shared" ref="O8:O9" si="4">M8-F8</f>
        <v>10000000000</v>
      </c>
    </row>
    <row r="9" spans="1:16" ht="25.15" customHeight="1" x14ac:dyDescent="0.2">
      <c r="A9" s="50" t="s">
        <v>98</v>
      </c>
      <c r="B9" s="85"/>
      <c r="C9" s="86"/>
      <c r="D9" s="2"/>
      <c r="E9" s="2"/>
      <c r="F9" s="81">
        <v>17788455168.689999</v>
      </c>
      <c r="G9" s="82">
        <v>18281348668.689999</v>
      </c>
      <c r="H9" s="52">
        <f>G9-F9</f>
        <v>492893500</v>
      </c>
      <c r="I9" s="51">
        <v>19525551611.830002</v>
      </c>
      <c r="J9" s="52">
        <f>I9-G9</f>
        <v>1244202943.1400032</v>
      </c>
      <c r="K9" s="51">
        <v>22336210598.18</v>
      </c>
      <c r="L9" s="52">
        <f>K9-I9</f>
        <v>2810658986.3499985</v>
      </c>
      <c r="M9" s="51">
        <v>22269370683.389999</v>
      </c>
      <c r="N9" s="52">
        <f>M9-K9</f>
        <v>-66839914.790000916</v>
      </c>
      <c r="O9" s="52">
        <f t="shared" si="4"/>
        <v>4480915514.7000008</v>
      </c>
    </row>
    <row r="10" spans="1:16" ht="34.15" customHeight="1" x14ac:dyDescent="0.2">
      <c r="A10" s="48" t="s">
        <v>99</v>
      </c>
      <c r="B10" s="85"/>
      <c r="C10" s="86"/>
      <c r="D10" s="2"/>
      <c r="E10" s="2"/>
      <c r="F10" s="79"/>
      <c r="G10" s="53">
        <f>F10</f>
        <v>0</v>
      </c>
      <c r="H10" s="65">
        <f t="shared" si="0"/>
        <v>0</v>
      </c>
      <c r="I10" s="53">
        <f>G10+474979700</f>
        <v>474979700</v>
      </c>
      <c r="J10" s="65">
        <f t="shared" si="1"/>
        <v>474979700</v>
      </c>
      <c r="K10" s="53">
        <f>I10+157635500</f>
        <v>632615200</v>
      </c>
      <c r="L10" s="65">
        <f>K10-I10</f>
        <v>157635500</v>
      </c>
      <c r="M10" s="53">
        <f>K10</f>
        <v>632615200</v>
      </c>
      <c r="N10" s="65">
        <f t="shared" si="3"/>
        <v>0</v>
      </c>
      <c r="O10" s="65">
        <f>M10-F10</f>
        <v>632615200</v>
      </c>
      <c r="P10" s="60"/>
    </row>
    <row r="11" spans="1:16" ht="37.15" customHeight="1" x14ac:dyDescent="0.2">
      <c r="A11" s="49" t="s">
        <v>100</v>
      </c>
      <c r="B11" s="85"/>
      <c r="C11" s="86"/>
      <c r="D11" s="2"/>
      <c r="E11" s="2"/>
      <c r="F11" s="53">
        <v>12314643800</v>
      </c>
      <c r="G11" s="53">
        <f>F11</f>
        <v>12314643800</v>
      </c>
      <c r="H11" s="65">
        <f t="shared" si="0"/>
        <v>0</v>
      </c>
      <c r="I11" s="53">
        <f>G11+36310100+206549700+42044400+87537200+215872500</f>
        <v>12902957700</v>
      </c>
      <c r="J11" s="65">
        <f t="shared" si="1"/>
        <v>588313900</v>
      </c>
      <c r="K11" s="53">
        <f>I11+2321681100+5700000</f>
        <v>15230338800</v>
      </c>
      <c r="L11" s="65">
        <f>K11-I11</f>
        <v>2327381100</v>
      </c>
      <c r="M11" s="53">
        <f>K11+21448800+74700000-7971900+9000000+33082100-36445800+45078400</f>
        <v>15369230400</v>
      </c>
      <c r="N11" s="65">
        <f t="shared" si="3"/>
        <v>138891600</v>
      </c>
      <c r="O11" s="65">
        <f t="shared" ref="O11:O15" si="5">M11-F11</f>
        <v>3054586600</v>
      </c>
      <c r="P11" s="60"/>
    </row>
    <row r="12" spans="1:16" ht="37.9" customHeight="1" x14ac:dyDescent="0.2">
      <c r="A12" s="49" t="s">
        <v>101</v>
      </c>
      <c r="B12" s="85"/>
      <c r="C12" s="86"/>
      <c r="D12" s="2"/>
      <c r="E12" s="2"/>
      <c r="F12" s="53">
        <v>2328902500</v>
      </c>
      <c r="G12" s="53">
        <f>F12</f>
        <v>2328902500</v>
      </c>
      <c r="H12" s="65">
        <f t="shared" si="0"/>
        <v>0</v>
      </c>
      <c r="I12" s="53">
        <f>G12+9076300</f>
        <v>2337978800</v>
      </c>
      <c r="J12" s="65">
        <f t="shared" si="1"/>
        <v>9076300</v>
      </c>
      <c r="K12" s="53">
        <f>I12</f>
        <v>2337978800</v>
      </c>
      <c r="L12" s="65">
        <f t="shared" si="2"/>
        <v>0</v>
      </c>
      <c r="M12" s="53">
        <f>K12-123813500+9603300+123400-247725400</f>
        <v>1976166600</v>
      </c>
      <c r="N12" s="65">
        <f t="shared" si="3"/>
        <v>-361812200</v>
      </c>
      <c r="O12" s="65">
        <f t="shared" si="5"/>
        <v>-352735900</v>
      </c>
    </row>
    <row r="13" spans="1:16" ht="16.5" x14ac:dyDescent="0.2">
      <c r="A13" s="49" t="s">
        <v>102</v>
      </c>
      <c r="B13" s="85"/>
      <c r="C13" s="86"/>
      <c r="D13" s="2"/>
      <c r="E13" s="2"/>
      <c r="F13" s="53">
        <v>2910987400</v>
      </c>
      <c r="G13" s="53">
        <f>F13+492893500</f>
        <v>3403880900</v>
      </c>
      <c r="H13" s="65">
        <f t="shared" si="0"/>
        <v>492893500</v>
      </c>
      <c r="I13" s="53">
        <f>G13+50000+2780125.32+941296.82-2477300+28300+27016800</f>
        <v>3432220122.1400003</v>
      </c>
      <c r="J13" s="65">
        <f t="shared" si="1"/>
        <v>28339222.140000343</v>
      </c>
      <c r="K13" s="53">
        <f>I13+611000+2740703.53+678376.82+24565500+237969200</f>
        <v>3698784902.4900007</v>
      </c>
      <c r="L13" s="65">
        <f t="shared" si="2"/>
        <v>266564780.35000038</v>
      </c>
      <c r="M13" s="53">
        <f>K13+2317000+70998+1894131.62+911450.59+86362500-41164000+20233100+8375700-40081600</f>
        <v>3737704182.7000008</v>
      </c>
      <c r="N13" s="65">
        <f t="shared" si="3"/>
        <v>38919280.210000038</v>
      </c>
      <c r="O13" s="65">
        <f t="shared" si="5"/>
        <v>826716782.70000076</v>
      </c>
    </row>
    <row r="14" spans="1:16" ht="52.5" customHeight="1" x14ac:dyDescent="0.2">
      <c r="A14" s="49" t="s">
        <v>103</v>
      </c>
      <c r="B14" s="85"/>
      <c r="C14" s="86"/>
      <c r="D14" s="2"/>
      <c r="E14" s="2"/>
      <c r="F14" s="76">
        <v>233921468.69</v>
      </c>
      <c r="G14" s="53">
        <f>F14</f>
        <v>233921468.69</v>
      </c>
      <c r="H14" s="65">
        <f t="shared" si="0"/>
        <v>0</v>
      </c>
      <c r="I14" s="53">
        <f>G14+134893821</f>
        <v>368815289.69</v>
      </c>
      <c r="J14" s="65">
        <f t="shared" si="1"/>
        <v>134893821</v>
      </c>
      <c r="K14" s="53">
        <f>I14+59077606</f>
        <v>427892895.69</v>
      </c>
      <c r="L14" s="65">
        <f t="shared" si="2"/>
        <v>59077606</v>
      </c>
      <c r="M14" s="53">
        <f>K14+117161405</f>
        <v>545054300.69000006</v>
      </c>
      <c r="N14" s="65">
        <f t="shared" si="3"/>
        <v>117161405.00000006</v>
      </c>
      <c r="O14" s="65">
        <f t="shared" si="5"/>
        <v>311132832.00000006</v>
      </c>
    </row>
    <row r="15" spans="1:16" ht="47.25" customHeight="1" x14ac:dyDescent="0.2">
      <c r="A15" s="49" t="s">
        <v>112</v>
      </c>
      <c r="B15" s="85"/>
      <c r="C15" s="86"/>
      <c r="D15" s="2"/>
      <c r="E15" s="2"/>
      <c r="F15" s="53"/>
      <c r="H15" s="65">
        <f t="shared" si="0"/>
        <v>0</v>
      </c>
      <c r="I15" s="53">
        <v>8600000</v>
      </c>
      <c r="J15" s="65">
        <f t="shared" si="1"/>
        <v>8600000</v>
      </c>
      <c r="K15" s="53">
        <f>+I15</f>
        <v>8600000</v>
      </c>
      <c r="L15" s="65">
        <f t="shared" si="2"/>
        <v>0</v>
      </c>
      <c r="M15" s="53">
        <f>+K15</f>
        <v>8600000</v>
      </c>
      <c r="N15" s="52">
        <f t="shared" si="3"/>
        <v>0</v>
      </c>
      <c r="O15" s="65">
        <f t="shared" si="5"/>
        <v>8600000</v>
      </c>
    </row>
    <row r="16" spans="1:16" ht="38.25" hidden="1" customHeight="1" x14ac:dyDescent="0.2">
      <c r="A16" s="49"/>
      <c r="B16" s="74"/>
      <c r="C16" s="75"/>
      <c r="D16" s="2"/>
      <c r="E16" s="2"/>
      <c r="F16" s="67">
        <f>F9-F10-F11-F12-F13-F14</f>
        <v>-1.3709068298339844E-6</v>
      </c>
      <c r="G16" s="67">
        <f>G9-G10-G11-G12-G13-G14</f>
        <v>-1.3709068298339844E-6</v>
      </c>
      <c r="H16" s="66">
        <f t="shared" ref="H16:O16" si="6">H9-H10-H11-H12-H13-H14-H15</f>
        <v>0</v>
      </c>
      <c r="I16" s="66" t="e">
        <f>I9-I10-I11-I12-I13-I14-#REF!</f>
        <v>#REF!</v>
      </c>
      <c r="J16" s="66">
        <f t="shared" si="6"/>
        <v>2.86102294921875E-6</v>
      </c>
      <c r="K16" s="66">
        <f t="shared" si="6"/>
        <v>-4.1723251342773438E-7</v>
      </c>
      <c r="L16" s="66">
        <f t="shared" si="6"/>
        <v>-1.9073486328125E-6</v>
      </c>
      <c r="M16" s="66">
        <f t="shared" si="6"/>
        <v>-1.430511474609375E-6</v>
      </c>
      <c r="N16" s="66">
        <f t="shared" si="6"/>
        <v>-1.0132789611816406E-6</v>
      </c>
      <c r="O16" s="66">
        <f t="shared" si="6"/>
        <v>-5.9604644775390625E-8</v>
      </c>
      <c r="P16" s="18"/>
    </row>
    <row r="17" spans="1:15" ht="16.5" x14ac:dyDescent="0.2">
      <c r="A17" s="27" t="s">
        <v>6</v>
      </c>
      <c r="B17" s="87"/>
      <c r="C17" s="88"/>
      <c r="D17" s="5">
        <f>D19+D29+D32+D39+D49+D54+D57+D65+D68+D75+D81+D85+D89+D91</f>
        <v>0</v>
      </c>
      <c r="E17" s="5">
        <f>E19+E29+E32+E39+E49+E54+E57+E65+E68+E75+E81+E85+E89+E91</f>
        <v>0</v>
      </c>
      <c r="F17" s="33">
        <f>F19+F29+F32+F39+F49+F54+F57+F65+F68+F75+F81+F85+F89+F91</f>
        <v>95052518950.209991</v>
      </c>
      <c r="G17" s="33">
        <f>G19+G29+G32+G39+G49+G54+G57+G65+G68+G75+G81+G85+G89+G91</f>
        <v>100227482375.42999</v>
      </c>
      <c r="H17" s="52">
        <f>G17-F17</f>
        <v>5174963425.2200012</v>
      </c>
      <c r="I17" s="33">
        <f>I19+I29+I32+I39+I49+I54+I57+I65+I68+I75+I81+I85+I89+I91</f>
        <v>106875152883.76999</v>
      </c>
      <c r="J17" s="52">
        <f>I17-G17</f>
        <v>6647670508.3399963</v>
      </c>
      <c r="K17" s="33">
        <f>K19+K29+K32+K39+K49+K54+K57+K65+K68+K75+K81+K85+K89+K91</f>
        <v>113636942770.12001</v>
      </c>
      <c r="L17" s="34">
        <f>L19+L29+L32+L39+L49+L54+L57+L65+L68+L75+L81+L85+L89+L91</f>
        <v>6761789886.3500004</v>
      </c>
      <c r="M17" s="33">
        <f>M19+M29+M32+M39+M49+M54+M57+M65+M68+M75+M81+M85+M89+M91</f>
        <v>117580244905.32999</v>
      </c>
      <c r="N17" s="34">
        <f>N19+N29+N32+N39+N49+N54+N57+N65+N68+N75+N81+N85+N89+N91</f>
        <v>3943302135.2099977</v>
      </c>
      <c r="O17" s="52">
        <f>M17-F17</f>
        <v>22527725955.119995</v>
      </c>
    </row>
    <row r="18" spans="1:15" ht="25.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4"/>
    </row>
    <row r="19" spans="1:15" s="61" customFormat="1" ht="18" customHeight="1" x14ac:dyDescent="0.2">
      <c r="A19" s="28" t="s">
        <v>7</v>
      </c>
      <c r="B19" s="29" t="s">
        <v>8</v>
      </c>
      <c r="C19" s="29" t="s">
        <v>9</v>
      </c>
      <c r="D19" s="6">
        <f t="shared" ref="D19:O19" si="7">SUM(D20:D28)</f>
        <v>0</v>
      </c>
      <c r="E19" s="6">
        <f t="shared" si="7"/>
        <v>0</v>
      </c>
      <c r="F19" s="37">
        <f t="shared" si="7"/>
        <v>5073796517.6199999</v>
      </c>
      <c r="G19" s="37">
        <f t="shared" si="7"/>
        <v>6633997906.29</v>
      </c>
      <c r="H19" s="38">
        <f t="shared" si="7"/>
        <v>1560201388.6700001</v>
      </c>
      <c r="I19" s="37">
        <f t="shared" si="7"/>
        <v>8326072214.6800003</v>
      </c>
      <c r="J19" s="38">
        <f t="shared" si="7"/>
        <v>1464624508.3900003</v>
      </c>
      <c r="K19" s="37">
        <f t="shared" si="7"/>
        <v>9386967697.1700001</v>
      </c>
      <c r="L19" s="38">
        <f t="shared" si="7"/>
        <v>1060895482.4899994</v>
      </c>
      <c r="M19" s="37">
        <f t="shared" si="7"/>
        <v>9379624376.1199989</v>
      </c>
      <c r="N19" s="38">
        <f t="shared" si="7"/>
        <v>-7343321.0499998331</v>
      </c>
      <c r="O19" s="70">
        <f t="shared" si="7"/>
        <v>4305827858.5</v>
      </c>
    </row>
    <row r="20" spans="1:15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80">
        <v>6160953</v>
      </c>
      <c r="G20" s="80">
        <v>6160953</v>
      </c>
      <c r="H20" s="24">
        <f>G20-F20</f>
        <v>0</v>
      </c>
      <c r="I20" s="80">
        <v>6160953</v>
      </c>
      <c r="J20" s="24">
        <f>I20-G20</f>
        <v>0</v>
      </c>
      <c r="K20" s="80">
        <v>6160953</v>
      </c>
      <c r="L20" s="24">
        <f>K20-I20</f>
        <v>0</v>
      </c>
      <c r="M20" s="80">
        <v>7364039.6100000003</v>
      </c>
      <c r="N20" s="24">
        <f>M20-K20</f>
        <v>1203086.6100000003</v>
      </c>
      <c r="O20" s="65">
        <f>M20-F20</f>
        <v>1203086.6100000003</v>
      </c>
    </row>
    <row r="21" spans="1:15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80">
        <v>101105300</v>
      </c>
      <c r="G21" s="80">
        <v>101439349</v>
      </c>
      <c r="H21" s="24">
        <f>G21-F21</f>
        <v>334049</v>
      </c>
      <c r="I21" s="80">
        <v>105160771.14</v>
      </c>
      <c r="J21" s="24">
        <f t="shared" ref="J21:J28" si="8">I21-G21</f>
        <v>3721422.1400000006</v>
      </c>
      <c r="K21" s="80">
        <v>108579851.48999999</v>
      </c>
      <c r="L21" s="24">
        <f t="shared" ref="L21:L28" si="9">K21-I21</f>
        <v>3419080.349999994</v>
      </c>
      <c r="M21" s="80">
        <v>112944661.7</v>
      </c>
      <c r="N21" s="24">
        <f t="shared" ref="N21:N28" si="10">M21-K21</f>
        <v>4364810.2100000083</v>
      </c>
      <c r="O21" s="65">
        <f t="shared" ref="O21:O28" si="11">M21-F21</f>
        <v>11839361.700000003</v>
      </c>
    </row>
    <row r="22" spans="1:15" s="10" customFormat="1" ht="51.75" customHeight="1" x14ac:dyDescent="0.2">
      <c r="A22" s="19" t="s">
        <v>124</v>
      </c>
      <c r="B22" s="20" t="s">
        <v>8</v>
      </c>
      <c r="C22" s="20" t="s">
        <v>14</v>
      </c>
      <c r="D22" s="8"/>
      <c r="E22" s="9"/>
      <c r="F22" s="80">
        <v>280721812.80000001</v>
      </c>
      <c r="G22" s="80">
        <v>295165202.69999999</v>
      </c>
      <c r="H22" s="24">
        <f t="shared" ref="H22:H28" si="12">G22-F22</f>
        <v>14443389.899999976</v>
      </c>
      <c r="I22" s="80">
        <v>296133414.55000001</v>
      </c>
      <c r="J22" s="24">
        <f t="shared" si="8"/>
        <v>968211.85000002384</v>
      </c>
      <c r="K22" s="80">
        <v>295855017.55000001</v>
      </c>
      <c r="L22" s="24">
        <f t="shared" si="9"/>
        <v>-278397</v>
      </c>
      <c r="M22" s="80">
        <v>303507377.55000001</v>
      </c>
      <c r="N22" s="24">
        <f t="shared" si="10"/>
        <v>7652360</v>
      </c>
      <c r="O22" s="65">
        <f t="shared" si="11"/>
        <v>22785564.75</v>
      </c>
    </row>
    <row r="23" spans="1:15" ht="16.5" x14ac:dyDescent="0.25">
      <c r="A23" s="19" t="s">
        <v>15</v>
      </c>
      <c r="B23" s="30" t="s">
        <v>8</v>
      </c>
      <c r="C23" s="30" t="s">
        <v>16</v>
      </c>
      <c r="D23" s="11"/>
      <c r="E23" s="7"/>
      <c r="F23" s="80">
        <v>16000</v>
      </c>
      <c r="G23" s="80">
        <v>16000</v>
      </c>
      <c r="H23" s="24">
        <f t="shared" si="12"/>
        <v>0</v>
      </c>
      <c r="I23" s="80">
        <v>16000</v>
      </c>
      <c r="J23" s="24">
        <f t="shared" si="8"/>
        <v>0</v>
      </c>
      <c r="K23" s="80">
        <v>16000</v>
      </c>
      <c r="L23" s="24">
        <f t="shared" si="9"/>
        <v>0</v>
      </c>
      <c r="M23" s="80">
        <v>139400</v>
      </c>
      <c r="N23" s="24">
        <f t="shared" si="10"/>
        <v>123400</v>
      </c>
      <c r="O23" s="65">
        <f t="shared" si="11"/>
        <v>123400</v>
      </c>
    </row>
    <row r="24" spans="1:15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80">
        <v>153777196</v>
      </c>
      <c r="G24" s="80">
        <v>148842196</v>
      </c>
      <c r="H24" s="24">
        <f t="shared" si="12"/>
        <v>-4935000</v>
      </c>
      <c r="I24" s="80">
        <v>149725268</v>
      </c>
      <c r="J24" s="24">
        <f t="shared" si="8"/>
        <v>883072</v>
      </c>
      <c r="K24" s="80">
        <v>149725268</v>
      </c>
      <c r="L24" s="24">
        <f t="shared" si="9"/>
        <v>0</v>
      </c>
      <c r="M24" s="80">
        <v>153295433.34</v>
      </c>
      <c r="N24" s="24">
        <f t="shared" si="10"/>
        <v>3570165.3400000036</v>
      </c>
      <c r="O24" s="65">
        <f t="shared" si="11"/>
        <v>-481762.65999999642</v>
      </c>
    </row>
    <row r="25" spans="1:15" ht="16.5" x14ac:dyDescent="0.25">
      <c r="A25" s="19" t="s">
        <v>19</v>
      </c>
      <c r="B25" s="20" t="s">
        <v>8</v>
      </c>
      <c r="C25" s="20" t="s">
        <v>20</v>
      </c>
      <c r="D25" s="11"/>
      <c r="E25" s="7"/>
      <c r="F25" s="80">
        <v>56342000</v>
      </c>
      <c r="G25" s="80">
        <v>56342000</v>
      </c>
      <c r="H25" s="24">
        <f t="shared" si="12"/>
        <v>0</v>
      </c>
      <c r="I25" s="80">
        <v>58169141.560000002</v>
      </c>
      <c r="J25" s="24">
        <f t="shared" si="8"/>
        <v>1827141.5600000024</v>
      </c>
      <c r="K25" s="80">
        <v>58169141.560000002</v>
      </c>
      <c r="L25" s="24">
        <f t="shared" si="9"/>
        <v>0</v>
      </c>
      <c r="M25" s="80">
        <v>61050240.799999997</v>
      </c>
      <c r="N25" s="24">
        <f t="shared" si="10"/>
        <v>2881099.2399999946</v>
      </c>
      <c r="O25" s="65">
        <f t="shared" si="11"/>
        <v>4708240.799999997</v>
      </c>
    </row>
    <row r="26" spans="1:15" ht="30" x14ac:dyDescent="0.25">
      <c r="A26" s="19" t="s">
        <v>125</v>
      </c>
      <c r="B26" s="20" t="s">
        <v>8</v>
      </c>
      <c r="C26" s="20" t="s">
        <v>44</v>
      </c>
      <c r="D26" s="11"/>
      <c r="E26" s="7"/>
      <c r="F26" s="80"/>
      <c r="G26" s="80"/>
      <c r="H26" s="24"/>
      <c r="I26" s="80">
        <v>227449800</v>
      </c>
      <c r="J26" s="24"/>
      <c r="K26" s="80">
        <v>227449800</v>
      </c>
      <c r="L26" s="24"/>
      <c r="M26" s="80">
        <v>227449800</v>
      </c>
      <c r="N26" s="24"/>
      <c r="O26" s="65">
        <f t="shared" si="11"/>
        <v>227449800</v>
      </c>
    </row>
    <row r="27" spans="1:15" ht="16.5" x14ac:dyDescent="0.25">
      <c r="A27" s="19" t="s">
        <v>22</v>
      </c>
      <c r="B27" s="20" t="s">
        <v>8</v>
      </c>
      <c r="C27" s="20" t="s">
        <v>23</v>
      </c>
      <c r="D27" s="11"/>
      <c r="E27" s="7"/>
      <c r="F27" s="80">
        <v>1000000000</v>
      </c>
      <c r="G27" s="80">
        <v>1250000000</v>
      </c>
      <c r="H27" s="24">
        <f t="shared" si="12"/>
        <v>250000000</v>
      </c>
      <c r="I27" s="80">
        <v>2250000000</v>
      </c>
      <c r="J27" s="24">
        <f t="shared" si="8"/>
        <v>1000000000</v>
      </c>
      <c r="K27" s="80">
        <v>2300000000</v>
      </c>
      <c r="L27" s="24">
        <f t="shared" si="9"/>
        <v>50000000</v>
      </c>
      <c r="M27" s="80">
        <v>2800000000</v>
      </c>
      <c r="N27" s="24">
        <f t="shared" si="10"/>
        <v>500000000</v>
      </c>
      <c r="O27" s="65">
        <f t="shared" si="11"/>
        <v>1800000000</v>
      </c>
    </row>
    <row r="28" spans="1:15" ht="16.5" x14ac:dyDescent="0.25">
      <c r="A28" s="19" t="s">
        <v>24</v>
      </c>
      <c r="B28" s="20" t="s">
        <v>8</v>
      </c>
      <c r="C28" s="20" t="s">
        <v>25</v>
      </c>
      <c r="D28" s="11"/>
      <c r="E28" s="7"/>
      <c r="F28" s="80">
        <v>3475673255.8200002</v>
      </c>
      <c r="G28" s="80">
        <v>4776032205.5900002</v>
      </c>
      <c r="H28" s="24">
        <f t="shared" si="12"/>
        <v>1300358949.77</v>
      </c>
      <c r="I28" s="80">
        <v>5233256866.4300003</v>
      </c>
      <c r="J28" s="24">
        <f t="shared" si="8"/>
        <v>457224660.84000015</v>
      </c>
      <c r="K28" s="80">
        <v>6241011665.5699997</v>
      </c>
      <c r="L28" s="24">
        <f t="shared" si="9"/>
        <v>1007754799.1399994</v>
      </c>
      <c r="M28" s="80">
        <v>5713873423.1199999</v>
      </c>
      <c r="N28" s="24">
        <f t="shared" si="10"/>
        <v>-527138242.44999981</v>
      </c>
      <c r="O28" s="65">
        <f t="shared" si="11"/>
        <v>2238200167.2999997</v>
      </c>
    </row>
    <row r="29" spans="1:15" s="61" customFormat="1" ht="18" customHeight="1" x14ac:dyDescent="0.2">
      <c r="A29" s="28" t="s">
        <v>26</v>
      </c>
      <c r="B29" s="29" t="s">
        <v>10</v>
      </c>
      <c r="C29" s="29" t="s">
        <v>9</v>
      </c>
      <c r="D29" s="6">
        <f>SUM(D30:D31)</f>
        <v>0</v>
      </c>
      <c r="E29" s="6"/>
      <c r="F29" s="37">
        <f t="shared" ref="F29:N29" si="13">SUM(F30:F31)</f>
        <v>221735344</v>
      </c>
      <c r="G29" s="37">
        <f t="shared" si="13"/>
        <v>221735344</v>
      </c>
      <c r="H29" s="38">
        <f t="shared" si="13"/>
        <v>0</v>
      </c>
      <c r="I29" s="37">
        <f t="shared" si="13"/>
        <v>221735344</v>
      </c>
      <c r="J29" s="38">
        <f t="shared" si="13"/>
        <v>0</v>
      </c>
      <c r="K29" s="37">
        <f t="shared" si="13"/>
        <v>221735344</v>
      </c>
      <c r="L29" s="38">
        <f t="shared" si="13"/>
        <v>0</v>
      </c>
      <c r="M29" s="37">
        <f t="shared" si="13"/>
        <v>221735252</v>
      </c>
      <c r="N29" s="38">
        <f t="shared" si="13"/>
        <v>-92</v>
      </c>
      <c r="O29" s="70">
        <f>SUM(O30:O31)</f>
        <v>-92</v>
      </c>
    </row>
    <row r="30" spans="1:15" ht="16.5" x14ac:dyDescent="0.25">
      <c r="A30" s="78" t="s">
        <v>27</v>
      </c>
      <c r="B30" s="20" t="s">
        <v>10</v>
      </c>
      <c r="C30" s="20" t="s">
        <v>12</v>
      </c>
      <c r="D30" s="12"/>
      <c r="E30" s="7"/>
      <c r="F30" s="80">
        <v>38789000</v>
      </c>
      <c r="G30" s="80">
        <v>38789000</v>
      </c>
      <c r="H30" s="24">
        <f>G30-F30</f>
        <v>0</v>
      </c>
      <c r="I30" s="80">
        <v>38789000</v>
      </c>
      <c r="J30" s="24">
        <f>I30-G30</f>
        <v>0</v>
      </c>
      <c r="K30" s="80">
        <v>38789000</v>
      </c>
      <c r="L30" s="24">
        <f>K30-I30</f>
        <v>0</v>
      </c>
      <c r="M30" s="80">
        <v>38789000</v>
      </c>
      <c r="N30" s="24">
        <f>M30-K30</f>
        <v>0</v>
      </c>
      <c r="O30" s="65">
        <f t="shared" ref="O30:O31" si="14">M30-F30</f>
        <v>0</v>
      </c>
    </row>
    <row r="31" spans="1:15" ht="16.5" x14ac:dyDescent="0.25">
      <c r="A31" s="78" t="s">
        <v>28</v>
      </c>
      <c r="B31" s="20" t="s">
        <v>10</v>
      </c>
      <c r="C31" s="20" t="s">
        <v>14</v>
      </c>
      <c r="D31" s="4"/>
      <c r="E31" s="7"/>
      <c r="F31" s="80">
        <v>182946344</v>
      </c>
      <c r="G31" s="80">
        <v>182946344</v>
      </c>
      <c r="H31" s="24">
        <f>G31-F31</f>
        <v>0</v>
      </c>
      <c r="I31" s="80">
        <v>182946344</v>
      </c>
      <c r="J31" s="24">
        <f>I31-G31</f>
        <v>0</v>
      </c>
      <c r="K31" s="80">
        <v>182946344</v>
      </c>
      <c r="L31" s="24">
        <f>K31-I31</f>
        <v>0</v>
      </c>
      <c r="M31" s="80">
        <v>182946252</v>
      </c>
      <c r="N31" s="24">
        <f>M31-K31</f>
        <v>-92</v>
      </c>
      <c r="O31" s="65">
        <f t="shared" si="14"/>
        <v>-92</v>
      </c>
    </row>
    <row r="32" spans="1:15" s="62" customFormat="1" ht="28.5" x14ac:dyDescent="0.2">
      <c r="A32" s="28" t="s">
        <v>29</v>
      </c>
      <c r="B32" s="29" t="s">
        <v>12</v>
      </c>
      <c r="C32" s="29" t="s">
        <v>9</v>
      </c>
      <c r="D32" s="13">
        <f>SUM(D33:D38)</f>
        <v>0</v>
      </c>
      <c r="E32" s="13">
        <f>SUM(E33:E38)</f>
        <v>0</v>
      </c>
      <c r="F32" s="37">
        <f>F34+F36+F37+F38</f>
        <v>1030049112.27</v>
      </c>
      <c r="G32" s="37">
        <f>G34+G36+G37+G38</f>
        <v>1086374066.1399999</v>
      </c>
      <c r="H32" s="38">
        <f t="shared" ref="H32:O32" si="15">SUM(H33:H38)</f>
        <v>56324953.870000005</v>
      </c>
      <c r="I32" s="37">
        <f t="shared" si="15"/>
        <v>1120537942.45</v>
      </c>
      <c r="J32" s="38">
        <f t="shared" si="15"/>
        <v>34163876.310000055</v>
      </c>
      <c r="K32" s="44">
        <f t="shared" si="15"/>
        <v>1120537942.45</v>
      </c>
      <c r="L32" s="38">
        <f t="shared" si="15"/>
        <v>0</v>
      </c>
      <c r="M32" s="37">
        <f t="shared" si="15"/>
        <v>1182703690.9299998</v>
      </c>
      <c r="N32" s="38">
        <f t="shared" si="15"/>
        <v>62165748.480000019</v>
      </c>
      <c r="O32" s="70">
        <f t="shared" si="15"/>
        <v>152654578.66000009</v>
      </c>
    </row>
    <row r="33" spans="1:15" ht="15" hidden="1" customHeight="1" x14ac:dyDescent="0.25">
      <c r="A33" s="19" t="s">
        <v>30</v>
      </c>
      <c r="B33" s="20" t="s">
        <v>12</v>
      </c>
      <c r="C33" s="20" t="s">
        <v>10</v>
      </c>
      <c r="D33" s="11"/>
      <c r="E33" s="7"/>
      <c r="F33" s="23"/>
      <c r="G33" s="23"/>
      <c r="H33" s="57"/>
      <c r="I33" s="23"/>
      <c r="J33" s="57"/>
      <c r="K33" s="25"/>
      <c r="L33" s="57"/>
      <c r="M33" s="25"/>
      <c r="N33" s="57"/>
      <c r="O33" s="58"/>
    </row>
    <row r="34" spans="1:15" ht="16.5" x14ac:dyDescent="0.25">
      <c r="A34" s="19" t="s">
        <v>31</v>
      </c>
      <c r="B34" s="20" t="s">
        <v>12</v>
      </c>
      <c r="C34" s="20" t="s">
        <v>14</v>
      </c>
      <c r="D34" s="11"/>
      <c r="E34" s="7"/>
      <c r="F34" s="80">
        <v>88809100</v>
      </c>
      <c r="G34" s="80">
        <v>88809100</v>
      </c>
      <c r="H34" s="24">
        <f t="shared" ref="H34:H38" si="16">G34-F34</f>
        <v>0</v>
      </c>
      <c r="I34" s="80">
        <v>88809100</v>
      </c>
      <c r="J34" s="24">
        <f>I34-G34</f>
        <v>0</v>
      </c>
      <c r="K34" s="80">
        <v>88809100</v>
      </c>
      <c r="L34" s="24">
        <f>K34-I34</f>
        <v>0</v>
      </c>
      <c r="M34" s="80">
        <v>100018802.18000001</v>
      </c>
      <c r="N34" s="24">
        <f t="shared" ref="N34:N38" si="17">M34-K34</f>
        <v>11209702.180000007</v>
      </c>
      <c r="O34" s="65">
        <f t="shared" ref="O34:O38" si="18">M34-F34</f>
        <v>11209702.180000007</v>
      </c>
    </row>
    <row r="35" spans="1:15" ht="16.5" x14ac:dyDescent="0.25">
      <c r="A35" s="19" t="s">
        <v>127</v>
      </c>
      <c r="B35" s="20" t="s">
        <v>12</v>
      </c>
      <c r="C35" s="20" t="s">
        <v>33</v>
      </c>
      <c r="D35" s="11"/>
      <c r="E35" s="7"/>
      <c r="F35" s="80"/>
      <c r="G35" s="23"/>
      <c r="H35" s="24">
        <f t="shared" si="16"/>
        <v>0</v>
      </c>
      <c r="I35" s="80">
        <v>1135500.8700000001</v>
      </c>
      <c r="J35" s="24">
        <f>I35-G35</f>
        <v>1135500.8700000001</v>
      </c>
      <c r="K35" s="80">
        <v>1135500.8700000001</v>
      </c>
      <c r="L35" s="24">
        <f>K35-I35</f>
        <v>0</v>
      </c>
      <c r="M35" s="80">
        <v>1135500.8700000001</v>
      </c>
      <c r="N35" s="24">
        <f t="shared" si="17"/>
        <v>0</v>
      </c>
      <c r="O35" s="65">
        <f t="shared" si="18"/>
        <v>1135500.8700000001</v>
      </c>
    </row>
    <row r="36" spans="1:15" ht="45" x14ac:dyDescent="0.25">
      <c r="A36" s="19" t="s">
        <v>128</v>
      </c>
      <c r="B36" s="20" t="s">
        <v>12</v>
      </c>
      <c r="C36" s="20" t="s">
        <v>21</v>
      </c>
      <c r="D36" s="11"/>
      <c r="E36" s="7"/>
      <c r="F36" s="80">
        <v>805055542.26999998</v>
      </c>
      <c r="G36" s="80">
        <v>805055542.26999998</v>
      </c>
      <c r="H36" s="24">
        <f t="shared" si="16"/>
        <v>0</v>
      </c>
      <c r="I36" s="80">
        <v>811692342.71000004</v>
      </c>
      <c r="J36" s="24">
        <f>I36-G36</f>
        <v>6636800.4400000572</v>
      </c>
      <c r="K36" s="80">
        <v>811692342.71000004</v>
      </c>
      <c r="L36" s="24">
        <f>K36-I36</f>
        <v>0</v>
      </c>
      <c r="M36" s="80">
        <v>844147362.71000004</v>
      </c>
      <c r="N36" s="24">
        <f t="shared" si="17"/>
        <v>32455020</v>
      </c>
      <c r="O36" s="65">
        <f t="shared" si="18"/>
        <v>39091820.440000057</v>
      </c>
    </row>
    <row r="37" spans="1:15" ht="16.5" x14ac:dyDescent="0.25">
      <c r="A37" s="19" t="s">
        <v>35</v>
      </c>
      <c r="B37" s="20" t="s">
        <v>12</v>
      </c>
      <c r="C37" s="20" t="s">
        <v>23</v>
      </c>
      <c r="D37" s="11"/>
      <c r="E37" s="7"/>
      <c r="F37" s="80">
        <v>62385000</v>
      </c>
      <c r="G37" s="80">
        <v>112385000</v>
      </c>
      <c r="H37" s="24">
        <f t="shared" si="16"/>
        <v>50000000</v>
      </c>
      <c r="I37" s="80">
        <v>138776575</v>
      </c>
      <c r="J37" s="24">
        <f>I37-G37</f>
        <v>26391575</v>
      </c>
      <c r="K37" s="80">
        <v>138776575</v>
      </c>
      <c r="L37" s="24">
        <f>K37-I37</f>
        <v>0</v>
      </c>
      <c r="M37" s="80">
        <v>156916911.30000001</v>
      </c>
      <c r="N37" s="24">
        <f t="shared" si="17"/>
        <v>18140336.300000012</v>
      </c>
      <c r="O37" s="65">
        <f t="shared" si="18"/>
        <v>94531911.300000012</v>
      </c>
    </row>
    <row r="38" spans="1:15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80">
        <v>73799470</v>
      </c>
      <c r="G38" s="80">
        <v>80124423.870000005</v>
      </c>
      <c r="H38" s="24">
        <f t="shared" si="16"/>
        <v>6324953.8700000048</v>
      </c>
      <c r="I38" s="80">
        <v>80124423.870000005</v>
      </c>
      <c r="J38" s="24">
        <f>I38-G38</f>
        <v>0</v>
      </c>
      <c r="K38" s="80">
        <v>80124423.870000005</v>
      </c>
      <c r="L38" s="24">
        <f>K38-I38</f>
        <v>0</v>
      </c>
      <c r="M38" s="80">
        <v>80485113.870000005</v>
      </c>
      <c r="N38" s="24">
        <f t="shared" si="17"/>
        <v>360690</v>
      </c>
      <c r="O38" s="65">
        <f t="shared" si="18"/>
        <v>6685643.8700000048</v>
      </c>
    </row>
    <row r="39" spans="1:15" s="61" customFormat="1" ht="19.5" customHeight="1" x14ac:dyDescent="0.2">
      <c r="A39" s="31" t="s">
        <v>38</v>
      </c>
      <c r="B39" s="32" t="s">
        <v>14</v>
      </c>
      <c r="C39" s="29" t="s">
        <v>9</v>
      </c>
      <c r="D39" s="6">
        <f t="shared" ref="D39:M39" si="19">SUM(D40:D48)</f>
        <v>0</v>
      </c>
      <c r="E39" s="6">
        <f t="shared" si="19"/>
        <v>0</v>
      </c>
      <c r="F39" s="37">
        <f>SUM(F40:F48)</f>
        <v>22040896304.139999</v>
      </c>
      <c r="G39" s="37">
        <f t="shared" si="19"/>
        <v>24954332123.829998</v>
      </c>
      <c r="H39" s="38">
        <f>SUM(H40:H48)</f>
        <v>2913435819.6900001</v>
      </c>
      <c r="I39" s="37">
        <f t="shared" si="19"/>
        <v>25144230084.699997</v>
      </c>
      <c r="J39" s="38">
        <f>SUM(J40:J48)</f>
        <v>189897960.86999995</v>
      </c>
      <c r="K39" s="37">
        <f t="shared" si="19"/>
        <v>28293584609.709999</v>
      </c>
      <c r="L39" s="41">
        <f>SUM(L40:L48)</f>
        <v>3149354525.0100002</v>
      </c>
      <c r="M39" s="37">
        <f t="shared" si="19"/>
        <v>28821018941.959999</v>
      </c>
      <c r="N39" s="38">
        <f>SUM(N40:N48)</f>
        <v>527434332.2499997</v>
      </c>
      <c r="O39" s="70">
        <f>SUM(O40:O48)</f>
        <v>6780122637.8199997</v>
      </c>
    </row>
    <row r="40" spans="1:15" ht="16.5" x14ac:dyDescent="0.25">
      <c r="A40" s="19" t="s">
        <v>39</v>
      </c>
      <c r="B40" s="20" t="s">
        <v>14</v>
      </c>
      <c r="C40" s="20" t="s">
        <v>8</v>
      </c>
      <c r="D40" s="12"/>
      <c r="E40" s="7"/>
      <c r="F40" s="80">
        <v>771478383.04999995</v>
      </c>
      <c r="G40" s="80">
        <v>700777244.35000002</v>
      </c>
      <c r="H40" s="24">
        <f>G40-F40</f>
        <v>-70701138.699999928</v>
      </c>
      <c r="I40" s="80">
        <v>703594817.55999994</v>
      </c>
      <c r="J40" s="24">
        <f>I40-G40</f>
        <v>2817573.2099999189</v>
      </c>
      <c r="K40" s="80">
        <v>703619842.55999994</v>
      </c>
      <c r="L40" s="24">
        <f>K40-I40</f>
        <v>25025</v>
      </c>
      <c r="M40" s="80">
        <v>741164060.52999997</v>
      </c>
      <c r="N40" s="24">
        <f>M40-K40</f>
        <v>37544217.970000029</v>
      </c>
      <c r="O40" s="65">
        <f t="shared" ref="O40:O48" si="20">M40-F40</f>
        <v>-30314322.519999981</v>
      </c>
    </row>
    <row r="41" spans="1:15" ht="16.5" x14ac:dyDescent="0.25">
      <c r="A41" s="19" t="s">
        <v>40</v>
      </c>
      <c r="B41" s="20" t="s">
        <v>14</v>
      </c>
      <c r="C41" s="20" t="s">
        <v>14</v>
      </c>
      <c r="D41" s="11"/>
      <c r="E41" s="7"/>
      <c r="F41" s="80">
        <v>4572000</v>
      </c>
      <c r="G41" s="80">
        <v>4572000</v>
      </c>
      <c r="H41" s="24">
        <f t="shared" ref="H41:H48" si="21">G41-F41</f>
        <v>0</v>
      </c>
      <c r="I41" s="80">
        <v>3376750</v>
      </c>
      <c r="J41" s="24">
        <f t="shared" ref="J41:J48" si="22">I41-G41</f>
        <v>-1195250</v>
      </c>
      <c r="K41" s="80">
        <v>3376750</v>
      </c>
      <c r="L41" s="24">
        <f t="shared" ref="L41:L48" si="23">K41-I41</f>
        <v>0</v>
      </c>
      <c r="M41" s="80">
        <v>3376750</v>
      </c>
      <c r="N41" s="24">
        <f t="shared" ref="N41:N48" si="24">M41-K41</f>
        <v>0</v>
      </c>
      <c r="O41" s="65">
        <f t="shared" si="20"/>
        <v>-1195250</v>
      </c>
    </row>
    <row r="42" spans="1:15" ht="16.5" x14ac:dyDescent="0.25">
      <c r="A42" s="19" t="s">
        <v>41</v>
      </c>
      <c r="B42" s="20" t="s">
        <v>14</v>
      </c>
      <c r="C42" s="20" t="s">
        <v>16</v>
      </c>
      <c r="D42" s="11"/>
      <c r="E42" s="7"/>
      <c r="F42" s="80">
        <v>3472409627.02</v>
      </c>
      <c r="G42" s="80">
        <v>3472882744.2800002</v>
      </c>
      <c r="H42" s="24">
        <f t="shared" si="21"/>
        <v>473117.26000022888</v>
      </c>
      <c r="I42" s="80">
        <v>3481499409.0700002</v>
      </c>
      <c r="J42" s="24">
        <f t="shared" si="22"/>
        <v>8616664.7899999619</v>
      </c>
      <c r="K42" s="80">
        <v>3722996061.71</v>
      </c>
      <c r="L42" s="24">
        <f t="shared" si="23"/>
        <v>241496652.63999987</v>
      </c>
      <c r="M42" s="80">
        <v>3765641848.4899998</v>
      </c>
      <c r="N42" s="24">
        <f t="shared" si="24"/>
        <v>42645786.779999733</v>
      </c>
      <c r="O42" s="65">
        <f t="shared" si="20"/>
        <v>293232221.46999979</v>
      </c>
    </row>
    <row r="43" spans="1:15" ht="16.5" x14ac:dyDescent="0.25">
      <c r="A43" s="19" t="s">
        <v>91</v>
      </c>
      <c r="B43" s="20" t="s">
        <v>14</v>
      </c>
      <c r="C43" s="20" t="s">
        <v>18</v>
      </c>
      <c r="D43" s="11"/>
      <c r="E43" s="7"/>
      <c r="F43" s="80">
        <v>145745500</v>
      </c>
      <c r="G43" s="80">
        <v>145745500</v>
      </c>
      <c r="H43" s="24">
        <f t="shared" si="21"/>
        <v>0</v>
      </c>
      <c r="I43" s="80">
        <v>201217329.44</v>
      </c>
      <c r="J43" s="24">
        <f t="shared" si="22"/>
        <v>55471829.439999998</v>
      </c>
      <c r="K43" s="80">
        <v>201217329.44</v>
      </c>
      <c r="L43" s="24">
        <f t="shared" si="23"/>
        <v>0</v>
      </c>
      <c r="M43" s="80">
        <v>217474706.12</v>
      </c>
      <c r="N43" s="24">
        <f t="shared" si="24"/>
        <v>16257376.680000007</v>
      </c>
      <c r="O43" s="65">
        <f t="shared" si="20"/>
        <v>71729206.120000005</v>
      </c>
    </row>
    <row r="44" spans="1:15" ht="16.5" x14ac:dyDescent="0.25">
      <c r="A44" s="19" t="s">
        <v>42</v>
      </c>
      <c r="B44" s="20" t="s">
        <v>14</v>
      </c>
      <c r="C44" s="20" t="s">
        <v>20</v>
      </c>
      <c r="D44" s="11"/>
      <c r="E44" s="7"/>
      <c r="F44" s="80">
        <v>559281700</v>
      </c>
      <c r="G44" s="80">
        <v>569274110.95000005</v>
      </c>
      <c r="H44" s="24">
        <f t="shared" si="21"/>
        <v>9992410.9500000477</v>
      </c>
      <c r="I44" s="80">
        <v>569274110.95000005</v>
      </c>
      <c r="J44" s="24">
        <f t="shared" si="22"/>
        <v>0</v>
      </c>
      <c r="K44" s="80">
        <v>569274110.95000005</v>
      </c>
      <c r="L44" s="24">
        <f t="shared" si="23"/>
        <v>0</v>
      </c>
      <c r="M44" s="80">
        <v>596699575.35000002</v>
      </c>
      <c r="N44" s="24">
        <f t="shared" si="24"/>
        <v>27425464.399999976</v>
      </c>
      <c r="O44" s="65">
        <f t="shared" si="20"/>
        <v>37417875.350000024</v>
      </c>
    </row>
    <row r="45" spans="1:15" ht="16.5" x14ac:dyDescent="0.25">
      <c r="A45" s="19" t="s">
        <v>43</v>
      </c>
      <c r="B45" s="20" t="s">
        <v>14</v>
      </c>
      <c r="C45" s="20" t="s">
        <v>44</v>
      </c>
      <c r="D45" s="11"/>
      <c r="E45" s="7"/>
      <c r="F45" s="80">
        <v>1335436183.6199999</v>
      </c>
      <c r="G45" s="80">
        <v>1337186219.3199999</v>
      </c>
      <c r="H45" s="24">
        <f t="shared" si="21"/>
        <v>1750035.7000000477</v>
      </c>
      <c r="I45" s="80">
        <v>1259667970.96</v>
      </c>
      <c r="J45" s="24">
        <f t="shared" si="22"/>
        <v>-77518248.359999895</v>
      </c>
      <c r="K45" s="80">
        <v>3581349070.96</v>
      </c>
      <c r="L45" s="24">
        <f t="shared" si="23"/>
        <v>2321681100</v>
      </c>
      <c r="M45" s="80">
        <v>3964536960.7800002</v>
      </c>
      <c r="N45" s="24">
        <f t="shared" si="24"/>
        <v>383187889.82000017</v>
      </c>
      <c r="O45" s="65">
        <f t="shared" si="20"/>
        <v>2629100777.1600003</v>
      </c>
    </row>
    <row r="46" spans="1:15" ht="16.5" x14ac:dyDescent="0.25">
      <c r="A46" s="19" t="s">
        <v>45</v>
      </c>
      <c r="B46" s="20" t="s">
        <v>14</v>
      </c>
      <c r="C46" s="20" t="s">
        <v>33</v>
      </c>
      <c r="D46" s="11"/>
      <c r="E46" s="7"/>
      <c r="F46" s="80">
        <v>12011679911.5</v>
      </c>
      <c r="G46" s="80">
        <v>14722492305.98</v>
      </c>
      <c r="H46" s="24">
        <f t="shared" si="21"/>
        <v>2710812394.4799995</v>
      </c>
      <c r="I46" s="80">
        <v>14722492305.98</v>
      </c>
      <c r="J46" s="24">
        <f t="shared" si="22"/>
        <v>0</v>
      </c>
      <c r="K46" s="80">
        <v>15247992305.98</v>
      </c>
      <c r="L46" s="24">
        <f t="shared" si="23"/>
        <v>525500000</v>
      </c>
      <c r="M46" s="80">
        <v>15206828305.98</v>
      </c>
      <c r="N46" s="24">
        <f t="shared" si="24"/>
        <v>-41164000</v>
      </c>
      <c r="O46" s="65">
        <f t="shared" si="20"/>
        <v>3195148394.4799995</v>
      </c>
    </row>
    <row r="47" spans="1:15" ht="16.5" x14ac:dyDescent="0.25">
      <c r="A47" s="19" t="s">
        <v>114</v>
      </c>
      <c r="B47" s="20" t="s">
        <v>14</v>
      </c>
      <c r="C47" s="20" t="s">
        <v>21</v>
      </c>
      <c r="D47" s="11"/>
      <c r="E47" s="7"/>
      <c r="F47" s="80">
        <v>805024700</v>
      </c>
      <c r="G47" s="80">
        <v>969204700</v>
      </c>
      <c r="H47" s="24">
        <f t="shared" si="21"/>
        <v>164180000</v>
      </c>
      <c r="I47" s="80">
        <v>969204700</v>
      </c>
      <c r="J47" s="24">
        <f t="shared" si="22"/>
        <v>0</v>
      </c>
      <c r="K47" s="80">
        <v>969204700</v>
      </c>
      <c r="L47" s="24">
        <f t="shared" si="23"/>
        <v>0</v>
      </c>
      <c r="M47" s="80">
        <v>1020431533.42</v>
      </c>
      <c r="N47" s="24">
        <f t="shared" si="24"/>
        <v>51226833.419999957</v>
      </c>
      <c r="O47" s="65">
        <f t="shared" si="20"/>
        <v>215406833.41999996</v>
      </c>
    </row>
    <row r="48" spans="1:15" s="10" customFormat="1" ht="16.5" x14ac:dyDescent="0.2">
      <c r="A48" s="19" t="s">
        <v>46</v>
      </c>
      <c r="B48" s="20" t="s">
        <v>14</v>
      </c>
      <c r="C48" s="20" t="s">
        <v>47</v>
      </c>
      <c r="D48" s="8"/>
      <c r="E48" s="9"/>
      <c r="F48" s="80">
        <v>2935268298.9499998</v>
      </c>
      <c r="G48" s="80">
        <v>3032197298.9499998</v>
      </c>
      <c r="H48" s="24">
        <f t="shared" si="21"/>
        <v>96929000</v>
      </c>
      <c r="I48" s="80">
        <v>3233902690.7399998</v>
      </c>
      <c r="J48" s="24">
        <f t="shared" si="22"/>
        <v>201705391.78999996</v>
      </c>
      <c r="K48" s="80">
        <v>3294554438.1100001</v>
      </c>
      <c r="L48" s="24">
        <f t="shared" si="23"/>
        <v>60651747.370000362</v>
      </c>
      <c r="M48" s="80">
        <v>3304865201.29</v>
      </c>
      <c r="N48" s="24">
        <f t="shared" si="24"/>
        <v>10310763.179999828</v>
      </c>
      <c r="O48" s="65">
        <f t="shared" si="20"/>
        <v>369596902.34000015</v>
      </c>
    </row>
    <row r="49" spans="1:15" s="61" customFormat="1" ht="16.5" x14ac:dyDescent="0.2">
      <c r="A49" s="28" t="s">
        <v>48</v>
      </c>
      <c r="B49" s="29" t="s">
        <v>16</v>
      </c>
      <c r="C49" s="29" t="s">
        <v>9</v>
      </c>
      <c r="D49" s="6">
        <f t="shared" ref="D49:M49" si="25">SUM(D50:D53)</f>
        <v>0</v>
      </c>
      <c r="E49" s="6">
        <f t="shared" si="25"/>
        <v>0</v>
      </c>
      <c r="F49" s="37">
        <f t="shared" si="25"/>
        <v>4376688375.6700001</v>
      </c>
      <c r="G49" s="37">
        <f t="shared" si="25"/>
        <v>4805700682.4700003</v>
      </c>
      <c r="H49" s="38">
        <f>SUM(H50:H53)</f>
        <v>429012306.80000001</v>
      </c>
      <c r="I49" s="37">
        <f>SUM(I50:I53)</f>
        <v>5388383007.7700005</v>
      </c>
      <c r="J49" s="38">
        <f>SUM(J50:J53)</f>
        <v>582682325.29999995</v>
      </c>
      <c r="K49" s="37">
        <f t="shared" si="25"/>
        <v>6828245472.0300007</v>
      </c>
      <c r="L49" s="38">
        <f>SUM(L50:L53)</f>
        <v>1439862464.2600002</v>
      </c>
      <c r="M49" s="37">
        <f t="shared" si="25"/>
        <v>8491573394.5199995</v>
      </c>
      <c r="N49" s="38">
        <f>SUM(N50:N53)</f>
        <v>1663327922.49</v>
      </c>
      <c r="O49" s="52">
        <f t="shared" ref="O49" si="26">M49-F49</f>
        <v>4114885018.8499994</v>
      </c>
    </row>
    <row r="50" spans="1:15" ht="16.5" x14ac:dyDescent="0.25">
      <c r="A50" s="19" t="s">
        <v>49</v>
      </c>
      <c r="B50" s="20" t="s">
        <v>16</v>
      </c>
      <c r="C50" s="20" t="s">
        <v>8</v>
      </c>
      <c r="D50" s="7"/>
      <c r="E50" s="7"/>
      <c r="F50" s="80">
        <v>347136647.69</v>
      </c>
      <c r="G50" s="80">
        <v>401441201.49000001</v>
      </c>
      <c r="H50" s="24">
        <f>G50-F50</f>
        <v>54304553.800000012</v>
      </c>
      <c r="I50" s="80">
        <v>398856598.38</v>
      </c>
      <c r="J50" s="24">
        <f>I50-G50</f>
        <v>-2584603.1100000143</v>
      </c>
      <c r="K50" s="80">
        <v>400704487.85000002</v>
      </c>
      <c r="L50" s="24">
        <f>K50-I50</f>
        <v>1847889.4700000286</v>
      </c>
      <c r="M50" s="80">
        <v>448119124.69</v>
      </c>
      <c r="N50" s="24">
        <f>M50-K50</f>
        <v>47414636.839999974</v>
      </c>
      <c r="O50" s="65">
        <f>M50-F50</f>
        <v>100982477</v>
      </c>
    </row>
    <row r="51" spans="1:15" ht="16.5" x14ac:dyDescent="0.25">
      <c r="A51" s="19" t="s">
        <v>50</v>
      </c>
      <c r="B51" s="20" t="s">
        <v>16</v>
      </c>
      <c r="C51" s="20" t="s">
        <v>10</v>
      </c>
      <c r="D51" s="12"/>
      <c r="E51" s="7"/>
      <c r="F51" s="80">
        <v>2390646234.8200002</v>
      </c>
      <c r="G51" s="80">
        <v>2514593706.8200002</v>
      </c>
      <c r="H51" s="24">
        <f>G51-F51</f>
        <v>123947472</v>
      </c>
      <c r="I51" s="80">
        <v>3077542420.0900002</v>
      </c>
      <c r="J51" s="24">
        <f>I51-G51</f>
        <v>562948713.26999998</v>
      </c>
      <c r="K51" s="80">
        <v>4486587820.0900002</v>
      </c>
      <c r="L51" s="24">
        <f>K51-I51</f>
        <v>1409045400</v>
      </c>
      <c r="M51" s="80">
        <v>6099587714.3800001</v>
      </c>
      <c r="N51" s="24">
        <f>M51-K51</f>
        <v>1612999894.29</v>
      </c>
      <c r="O51" s="65">
        <f t="shared" ref="O51:O94" si="27">M51-F51</f>
        <v>3708941479.5599999</v>
      </c>
    </row>
    <row r="52" spans="1:15" ht="16.5" x14ac:dyDescent="0.25">
      <c r="A52" s="19" t="s">
        <v>51</v>
      </c>
      <c r="B52" s="20" t="s">
        <v>16</v>
      </c>
      <c r="C52" s="20" t="s">
        <v>12</v>
      </c>
      <c r="D52" s="11"/>
      <c r="E52" s="7"/>
      <c r="F52" s="80">
        <v>1211610020.5799999</v>
      </c>
      <c r="G52" s="80">
        <v>1460274120.5799999</v>
      </c>
      <c r="H52" s="24">
        <f>G52-F52</f>
        <v>248664100</v>
      </c>
      <c r="I52" s="80">
        <v>1484062083.1199999</v>
      </c>
      <c r="J52" s="24">
        <f>I52-G52</f>
        <v>23787962.539999962</v>
      </c>
      <c r="K52" s="80">
        <v>1512506600.02</v>
      </c>
      <c r="L52" s="24">
        <f>K52-I52</f>
        <v>28444516.900000095</v>
      </c>
      <c r="M52" s="80">
        <v>1511869417.8800001</v>
      </c>
      <c r="N52" s="24">
        <f>M52-K52</f>
        <v>-637182.13999986649</v>
      </c>
      <c r="O52" s="65">
        <f t="shared" si="27"/>
        <v>300259397.30000019</v>
      </c>
    </row>
    <row r="53" spans="1:15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80">
        <v>427295472.57999998</v>
      </c>
      <c r="G53" s="80">
        <v>429391653.57999998</v>
      </c>
      <c r="H53" s="24">
        <f>G53-F53</f>
        <v>2096181</v>
      </c>
      <c r="I53" s="80">
        <v>427921906.18000001</v>
      </c>
      <c r="J53" s="24">
        <f>I53-G53</f>
        <v>-1469747.3999999762</v>
      </c>
      <c r="K53" s="80">
        <v>428446564.06999999</v>
      </c>
      <c r="L53" s="24">
        <f>K53-I53</f>
        <v>524657.88999998569</v>
      </c>
      <c r="M53" s="80">
        <v>431997137.56999999</v>
      </c>
      <c r="N53" s="24">
        <f>M53-K53</f>
        <v>3550573.5</v>
      </c>
      <c r="O53" s="65">
        <f t="shared" si="27"/>
        <v>4701664.9900000095</v>
      </c>
    </row>
    <row r="54" spans="1:15" s="61" customFormat="1" ht="16.5" x14ac:dyDescent="0.2">
      <c r="A54" s="28" t="s">
        <v>53</v>
      </c>
      <c r="B54" s="29" t="s">
        <v>18</v>
      </c>
      <c r="C54" s="29" t="s">
        <v>9</v>
      </c>
      <c r="D54" s="6">
        <f t="shared" ref="D54:M54" si="28">SUM(D55:D56)</f>
        <v>0</v>
      </c>
      <c r="E54" s="6">
        <f t="shared" si="28"/>
        <v>0</v>
      </c>
      <c r="F54" s="37">
        <f t="shared" si="28"/>
        <v>1102289100</v>
      </c>
      <c r="G54" s="37">
        <f t="shared" si="28"/>
        <v>1102289100</v>
      </c>
      <c r="H54" s="38">
        <f>SUM(H55:H56)</f>
        <v>0</v>
      </c>
      <c r="I54" s="37">
        <f t="shared" si="28"/>
        <v>1106500860.4100001</v>
      </c>
      <c r="J54" s="38">
        <f>SUM(J55:J56)</f>
        <v>4211760.4100000858</v>
      </c>
      <c r="K54" s="37">
        <f t="shared" si="28"/>
        <v>1106500860.4100001</v>
      </c>
      <c r="L54" s="38">
        <f>SUM(L55:L56)</f>
        <v>0</v>
      </c>
      <c r="M54" s="37">
        <f t="shared" si="28"/>
        <v>1075440734.5599999</v>
      </c>
      <c r="N54" s="38">
        <f>SUM(N55:N56)</f>
        <v>-31060125.850000143</v>
      </c>
      <c r="O54" s="52">
        <f t="shared" si="27"/>
        <v>-26848365.440000057</v>
      </c>
    </row>
    <row r="55" spans="1:15" ht="16.5" x14ac:dyDescent="0.25">
      <c r="A55" s="19" t="s">
        <v>92</v>
      </c>
      <c r="B55" s="20" t="s">
        <v>18</v>
      </c>
      <c r="C55" s="20" t="s">
        <v>10</v>
      </c>
      <c r="D55" s="7"/>
      <c r="E55" s="7"/>
      <c r="F55" s="80">
        <v>1000000</v>
      </c>
      <c r="G55" s="80">
        <v>1000000</v>
      </c>
      <c r="H55" s="24">
        <f>G55-F55</f>
        <v>0</v>
      </c>
      <c r="I55" s="80">
        <v>995000</v>
      </c>
      <c r="J55" s="24">
        <f>I55-G55</f>
        <v>-5000</v>
      </c>
      <c r="K55" s="80">
        <v>995000</v>
      </c>
      <c r="L55" s="24">
        <f>K55-I55</f>
        <v>0</v>
      </c>
      <c r="M55" s="80">
        <v>995000</v>
      </c>
      <c r="N55" s="24">
        <f>M55-K55</f>
        <v>0</v>
      </c>
      <c r="O55" s="65">
        <f t="shared" si="27"/>
        <v>-5000</v>
      </c>
    </row>
    <row r="56" spans="1:15" ht="16.5" x14ac:dyDescent="0.25">
      <c r="A56" s="19" t="s">
        <v>54</v>
      </c>
      <c r="B56" s="20" t="s">
        <v>18</v>
      </c>
      <c r="C56" s="20" t="s">
        <v>16</v>
      </c>
      <c r="D56" s="11"/>
      <c r="E56" s="7"/>
      <c r="F56" s="80">
        <v>1101289100</v>
      </c>
      <c r="G56" s="80">
        <v>1101289100</v>
      </c>
      <c r="H56" s="24">
        <f>G56-F56</f>
        <v>0</v>
      </c>
      <c r="I56" s="80">
        <v>1105505860.4100001</v>
      </c>
      <c r="J56" s="24">
        <f>I56-G56</f>
        <v>4216760.4100000858</v>
      </c>
      <c r="K56" s="80">
        <v>1105505860.4100001</v>
      </c>
      <c r="L56" s="24">
        <f>K56-I56</f>
        <v>0</v>
      </c>
      <c r="M56" s="80">
        <v>1074445734.5599999</v>
      </c>
      <c r="N56" s="24">
        <f>M56-K56</f>
        <v>-31060125.850000143</v>
      </c>
      <c r="O56" s="65">
        <f t="shared" si="27"/>
        <v>-26843365.440000057</v>
      </c>
    </row>
    <row r="57" spans="1:15" s="61" customFormat="1" ht="16.5" x14ac:dyDescent="0.2">
      <c r="A57" s="28" t="s">
        <v>55</v>
      </c>
      <c r="B57" s="29" t="s">
        <v>20</v>
      </c>
      <c r="C57" s="29" t="s">
        <v>9</v>
      </c>
      <c r="D57" s="6">
        <f t="shared" ref="D57:N57" si="29">SUM(D58:D64)</f>
        <v>0</v>
      </c>
      <c r="E57" s="6">
        <f t="shared" si="29"/>
        <v>0</v>
      </c>
      <c r="F57" s="37">
        <f t="shared" si="29"/>
        <v>20239249508.879997</v>
      </c>
      <c r="G57" s="37">
        <f t="shared" si="29"/>
        <v>20372026549.889999</v>
      </c>
      <c r="H57" s="38">
        <f>SUM(H58:H64)</f>
        <v>132777041.01000054</v>
      </c>
      <c r="I57" s="37">
        <f t="shared" si="29"/>
        <v>20801505765.129997</v>
      </c>
      <c r="J57" s="38">
        <f>SUM(J58:J64)</f>
        <v>429479215.23999906</v>
      </c>
      <c r="K57" s="37">
        <f t="shared" si="29"/>
        <v>20859971091.469997</v>
      </c>
      <c r="L57" s="38">
        <f t="shared" si="29"/>
        <v>58465326.340000153</v>
      </c>
      <c r="M57" s="44">
        <f t="shared" si="29"/>
        <v>21054544352.82</v>
      </c>
      <c r="N57" s="38">
        <f t="shared" si="29"/>
        <v>194573261.34999955</v>
      </c>
      <c r="O57" s="52">
        <f t="shared" si="27"/>
        <v>815294843.94000244</v>
      </c>
    </row>
    <row r="58" spans="1:15" ht="16.5" x14ac:dyDescent="0.25">
      <c r="A58" s="19" t="s">
        <v>56</v>
      </c>
      <c r="B58" s="20" t="s">
        <v>20</v>
      </c>
      <c r="C58" s="20" t="s">
        <v>8</v>
      </c>
      <c r="D58" s="12"/>
      <c r="E58" s="7"/>
      <c r="F58" s="80">
        <v>4460850950</v>
      </c>
      <c r="G58" s="80">
        <v>4460850950</v>
      </c>
      <c r="H58" s="24">
        <f>G58-F58</f>
        <v>0</v>
      </c>
      <c r="I58" s="80">
        <v>4462103148.1999998</v>
      </c>
      <c r="J58" s="24">
        <f>I58-G58</f>
        <v>1252198.1999998093</v>
      </c>
      <c r="K58" s="80">
        <v>4459816948.1999998</v>
      </c>
      <c r="L58" s="24">
        <f>K58-I58</f>
        <v>-2286200</v>
      </c>
      <c r="M58" s="80">
        <v>4430437850.3599997</v>
      </c>
      <c r="N58" s="24">
        <f>M58-K58</f>
        <v>-29379097.840000153</v>
      </c>
      <c r="O58" s="65">
        <f t="shared" si="27"/>
        <v>-30413099.640000343</v>
      </c>
    </row>
    <row r="59" spans="1:15" ht="16.5" x14ac:dyDescent="0.25">
      <c r="A59" s="19" t="s">
        <v>57</v>
      </c>
      <c r="B59" s="20" t="s">
        <v>20</v>
      </c>
      <c r="C59" s="20" t="s">
        <v>10</v>
      </c>
      <c r="D59" s="11"/>
      <c r="E59" s="7"/>
      <c r="F59" s="80">
        <v>11163916090.99</v>
      </c>
      <c r="G59" s="80">
        <v>11235348256.77</v>
      </c>
      <c r="H59" s="24">
        <f t="shared" ref="H59:H64" si="30">G59-F59</f>
        <v>71432165.780000687</v>
      </c>
      <c r="I59" s="80">
        <v>11525115041.9</v>
      </c>
      <c r="J59" s="24">
        <f t="shared" ref="J59:J64" si="31">I59-G59</f>
        <v>289766785.12999916</v>
      </c>
      <c r="K59" s="80">
        <v>11579884751.74</v>
      </c>
      <c r="L59" s="24">
        <f t="shared" ref="L59:L64" si="32">K59-I59</f>
        <v>54769709.840000153</v>
      </c>
      <c r="M59" s="80">
        <v>11936941026.65</v>
      </c>
      <c r="N59" s="24">
        <f t="shared" ref="N59:N64" si="33">M59-K59</f>
        <v>357056274.90999985</v>
      </c>
      <c r="O59" s="65">
        <f t="shared" si="27"/>
        <v>773024935.65999985</v>
      </c>
    </row>
    <row r="60" spans="1:15" ht="16.5" x14ac:dyDescent="0.25">
      <c r="A60" s="19" t="s">
        <v>95</v>
      </c>
      <c r="B60" s="20" t="s">
        <v>20</v>
      </c>
      <c r="C60" s="20" t="s">
        <v>12</v>
      </c>
      <c r="D60" s="11"/>
      <c r="E60" s="7"/>
      <c r="F60" s="80">
        <v>584211611.37</v>
      </c>
      <c r="G60" s="80">
        <v>596066450.78999996</v>
      </c>
      <c r="H60" s="24">
        <f t="shared" si="30"/>
        <v>11854839.419999957</v>
      </c>
      <c r="I60" s="80">
        <v>607388615.71000004</v>
      </c>
      <c r="J60" s="24">
        <f t="shared" si="31"/>
        <v>11322164.920000076</v>
      </c>
      <c r="K60" s="80">
        <v>608395457.21000004</v>
      </c>
      <c r="L60" s="24">
        <f t="shared" si="32"/>
        <v>1006841.5</v>
      </c>
      <c r="M60" s="80">
        <v>628498870.17999995</v>
      </c>
      <c r="N60" s="24">
        <f t="shared" si="33"/>
        <v>20103412.969999909</v>
      </c>
      <c r="O60" s="65">
        <f t="shared" si="27"/>
        <v>44287258.809999943</v>
      </c>
    </row>
    <row r="61" spans="1:15" ht="16.5" x14ac:dyDescent="0.25">
      <c r="A61" s="19" t="s">
        <v>58</v>
      </c>
      <c r="B61" s="20" t="s">
        <v>20</v>
      </c>
      <c r="C61" s="20" t="s">
        <v>14</v>
      </c>
      <c r="D61" s="11"/>
      <c r="E61" s="7"/>
      <c r="F61" s="80">
        <v>2059909398.96</v>
      </c>
      <c r="G61" s="80">
        <v>2064514781.96</v>
      </c>
      <c r="H61" s="24">
        <f t="shared" si="30"/>
        <v>4605383</v>
      </c>
      <c r="I61" s="80">
        <v>2156588669.46</v>
      </c>
      <c r="J61" s="24">
        <f t="shared" si="31"/>
        <v>92073887.5</v>
      </c>
      <c r="K61" s="80">
        <v>2161588669.46</v>
      </c>
      <c r="L61" s="24">
        <f t="shared" si="32"/>
        <v>5000000</v>
      </c>
      <c r="M61" s="80">
        <v>2234215142.3899999</v>
      </c>
      <c r="N61" s="24">
        <f t="shared" si="33"/>
        <v>72626472.929999828</v>
      </c>
      <c r="O61" s="65">
        <f t="shared" si="27"/>
        <v>174305743.42999983</v>
      </c>
    </row>
    <row r="62" spans="1:15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80">
        <v>129046590.34999999</v>
      </c>
      <c r="G62" s="80">
        <v>132832430.79000001</v>
      </c>
      <c r="H62" s="24">
        <f t="shared" si="30"/>
        <v>3785840.4400000125</v>
      </c>
      <c r="I62" s="80">
        <v>134661621.78999999</v>
      </c>
      <c r="J62" s="24">
        <f t="shared" si="31"/>
        <v>1829190.9999999851</v>
      </c>
      <c r="K62" s="80">
        <v>134636596.78999999</v>
      </c>
      <c r="L62" s="24">
        <f t="shared" si="32"/>
        <v>-25025</v>
      </c>
      <c r="M62" s="80">
        <v>146658318.13</v>
      </c>
      <c r="N62" s="24">
        <f t="shared" si="33"/>
        <v>12021721.340000004</v>
      </c>
      <c r="O62" s="65">
        <f t="shared" si="27"/>
        <v>17611727.780000001</v>
      </c>
    </row>
    <row r="63" spans="1:15" ht="16.5" x14ac:dyDescent="0.25">
      <c r="A63" s="19" t="s">
        <v>129</v>
      </c>
      <c r="B63" s="20" t="s">
        <v>20</v>
      </c>
      <c r="C63" s="20" t="s">
        <v>20</v>
      </c>
      <c r="D63" s="11"/>
      <c r="E63" s="7"/>
      <c r="F63" s="80">
        <v>328449107</v>
      </c>
      <c r="G63" s="80">
        <v>331704107</v>
      </c>
      <c r="H63" s="24">
        <f t="shared" si="30"/>
        <v>3255000</v>
      </c>
      <c r="I63" s="80">
        <v>331704107</v>
      </c>
      <c r="J63" s="24">
        <f t="shared" si="31"/>
        <v>0</v>
      </c>
      <c r="K63" s="80">
        <v>331704107</v>
      </c>
      <c r="L63" s="24">
        <f t="shared" si="32"/>
        <v>0</v>
      </c>
      <c r="M63" s="80">
        <v>341241529.13999999</v>
      </c>
      <c r="N63" s="24">
        <f t="shared" si="33"/>
        <v>9537422.1399999857</v>
      </c>
      <c r="O63" s="65">
        <f t="shared" si="27"/>
        <v>12792422.139999986</v>
      </c>
    </row>
    <row r="64" spans="1:15" ht="16.5" x14ac:dyDescent="0.25">
      <c r="A64" s="19" t="s">
        <v>61</v>
      </c>
      <c r="B64" s="20" t="s">
        <v>20</v>
      </c>
      <c r="C64" s="20" t="s">
        <v>33</v>
      </c>
      <c r="D64" s="11"/>
      <c r="E64" s="7"/>
      <c r="F64" s="80">
        <v>1512865760.21</v>
      </c>
      <c r="G64" s="80">
        <v>1550709572.5799999</v>
      </c>
      <c r="H64" s="24">
        <f t="shared" si="30"/>
        <v>37843812.369999886</v>
      </c>
      <c r="I64" s="80">
        <v>1583944561.0699999</v>
      </c>
      <c r="J64" s="24">
        <f t="shared" si="31"/>
        <v>33234988.49000001</v>
      </c>
      <c r="K64" s="80">
        <v>1583944561.0699999</v>
      </c>
      <c r="L64" s="24">
        <f t="shared" si="32"/>
        <v>0</v>
      </c>
      <c r="M64" s="80">
        <v>1336551615.97</v>
      </c>
      <c r="N64" s="24">
        <f t="shared" si="33"/>
        <v>-247392945.0999999</v>
      </c>
      <c r="O64" s="65">
        <f t="shared" si="27"/>
        <v>-176314144.24000001</v>
      </c>
    </row>
    <row r="65" spans="1:15" s="61" customFormat="1" ht="16.5" x14ac:dyDescent="0.2">
      <c r="A65" s="28" t="s">
        <v>93</v>
      </c>
      <c r="B65" s="29" t="s">
        <v>44</v>
      </c>
      <c r="C65" s="29" t="s">
        <v>9</v>
      </c>
      <c r="D65" s="6">
        <f t="shared" ref="D65:M65" si="34">SUM(D66:D67)</f>
        <v>0</v>
      </c>
      <c r="E65" s="6">
        <f t="shared" si="34"/>
        <v>0</v>
      </c>
      <c r="F65" s="37">
        <f t="shared" si="34"/>
        <v>1712510912.0599999</v>
      </c>
      <c r="G65" s="37">
        <f t="shared" si="34"/>
        <v>1714378662.0599999</v>
      </c>
      <c r="H65" s="38">
        <f>SUM(H66:H67)</f>
        <v>1867750</v>
      </c>
      <c r="I65" s="44">
        <f t="shared" si="34"/>
        <v>1741945883.4400001</v>
      </c>
      <c r="J65" s="38">
        <f>SUM(J66:J67)</f>
        <v>27567221.380000114</v>
      </c>
      <c r="K65" s="37">
        <f t="shared" si="34"/>
        <v>1799645883.4400001</v>
      </c>
      <c r="L65" s="38">
        <f>SUM(L66:L67)</f>
        <v>57700000</v>
      </c>
      <c r="M65" s="37">
        <f t="shared" si="34"/>
        <v>1981275174.9300001</v>
      </c>
      <c r="N65" s="38">
        <f>SUM(N66:N67)</f>
        <v>181629291.49000004</v>
      </c>
      <c r="O65" s="52">
        <f t="shared" si="27"/>
        <v>268764262.87000012</v>
      </c>
    </row>
    <row r="66" spans="1:15" ht="16.5" x14ac:dyDescent="0.25">
      <c r="A66" s="19" t="s">
        <v>62</v>
      </c>
      <c r="B66" s="20" t="s">
        <v>44</v>
      </c>
      <c r="C66" s="20" t="s">
        <v>8</v>
      </c>
      <c r="D66" s="11"/>
      <c r="E66" s="7"/>
      <c r="F66" s="80">
        <v>1671822912.0599999</v>
      </c>
      <c r="G66" s="80">
        <v>1673690662.0599999</v>
      </c>
      <c r="H66" s="24">
        <f>G66-F66</f>
        <v>1867750</v>
      </c>
      <c r="I66" s="80">
        <v>1701257883.4400001</v>
      </c>
      <c r="J66" s="24">
        <f>I66-G66</f>
        <v>27567221.380000114</v>
      </c>
      <c r="K66" s="80">
        <v>1758957883.4400001</v>
      </c>
      <c r="L66" s="24">
        <f>K66-I66</f>
        <v>57700000</v>
      </c>
      <c r="M66" s="80">
        <v>1937730846.9100001</v>
      </c>
      <c r="N66" s="24">
        <f>M66-K66</f>
        <v>178772963.47000003</v>
      </c>
      <c r="O66" s="65">
        <f t="shared" si="27"/>
        <v>265907934.85000014</v>
      </c>
    </row>
    <row r="67" spans="1:15" ht="16.5" x14ac:dyDescent="0.25">
      <c r="A67" s="19" t="s">
        <v>63</v>
      </c>
      <c r="B67" s="20" t="s">
        <v>44</v>
      </c>
      <c r="C67" s="20" t="s">
        <v>14</v>
      </c>
      <c r="D67" s="11"/>
      <c r="E67" s="7"/>
      <c r="F67" s="80">
        <v>40688000</v>
      </c>
      <c r="G67" s="80">
        <v>40688000</v>
      </c>
      <c r="H67" s="24">
        <f>G67-F67</f>
        <v>0</v>
      </c>
      <c r="I67" s="80">
        <v>40688000</v>
      </c>
      <c r="J67" s="24">
        <f>I67-G67</f>
        <v>0</v>
      </c>
      <c r="K67" s="80">
        <v>40688000</v>
      </c>
      <c r="L67" s="24">
        <f>K67-I67</f>
        <v>0</v>
      </c>
      <c r="M67" s="80">
        <v>43544328.020000003</v>
      </c>
      <c r="N67" s="24">
        <f>M67-K67</f>
        <v>2856328.0200000033</v>
      </c>
      <c r="O67" s="65">
        <f t="shared" si="27"/>
        <v>2856328.0200000033</v>
      </c>
    </row>
    <row r="68" spans="1:15" s="61" customFormat="1" ht="16.5" x14ac:dyDescent="0.2">
      <c r="A68" s="28" t="s">
        <v>64</v>
      </c>
      <c r="B68" s="29" t="s">
        <v>33</v>
      </c>
      <c r="C68" s="29" t="s">
        <v>9</v>
      </c>
      <c r="D68" s="6">
        <f t="shared" ref="D68:M68" si="35">SUM(D69:D74)</f>
        <v>0</v>
      </c>
      <c r="E68" s="6">
        <f t="shared" si="35"/>
        <v>0</v>
      </c>
      <c r="F68" s="37">
        <f t="shared" si="35"/>
        <v>11433437452.110001</v>
      </c>
      <c r="G68" s="37">
        <f t="shared" si="35"/>
        <v>11352888000.84</v>
      </c>
      <c r="H68" s="38">
        <f>SUM(H69:H74)</f>
        <v>-80549451.269999832</v>
      </c>
      <c r="I68" s="37">
        <f>SUM(I69:I74)</f>
        <v>12269654514.219999</v>
      </c>
      <c r="J68" s="38">
        <f>SUM(J69:J74)</f>
        <v>916766513.38000011</v>
      </c>
      <c r="K68" s="37">
        <f>SUM(K69:K74)</f>
        <v>12400104865.709999</v>
      </c>
      <c r="L68" s="38">
        <f>SUM(L69:L74)</f>
        <v>130450351.48999977</v>
      </c>
      <c r="M68" s="37">
        <f t="shared" si="35"/>
        <v>13864983578.129999</v>
      </c>
      <c r="N68" s="38">
        <f>SUM(N69:N74)</f>
        <v>1464878712.4199996</v>
      </c>
      <c r="O68" s="52">
        <f t="shared" si="27"/>
        <v>2431546126.0199986</v>
      </c>
    </row>
    <row r="69" spans="1:15" ht="16.5" x14ac:dyDescent="0.25">
      <c r="A69" s="19" t="s">
        <v>65</v>
      </c>
      <c r="B69" s="20" t="s">
        <v>33</v>
      </c>
      <c r="C69" s="20" t="s">
        <v>8</v>
      </c>
      <c r="D69" s="11"/>
      <c r="E69" s="7"/>
      <c r="F69" s="80">
        <v>5777840913.6700001</v>
      </c>
      <c r="G69" s="80">
        <v>5787716283.6300001</v>
      </c>
      <c r="H69" s="24">
        <f t="shared" ref="H69:H74" si="36">G69-F69</f>
        <v>9875369.9600000381</v>
      </c>
      <c r="I69" s="80">
        <v>6199817224.1400003</v>
      </c>
      <c r="J69" s="24">
        <f t="shared" ref="J69:J74" si="37">I69-G69</f>
        <v>412100940.51000023</v>
      </c>
      <c r="K69" s="80">
        <v>6194817224.1400003</v>
      </c>
      <c r="L69" s="24">
        <f t="shared" ref="L69:L74" si="38">K69-I69</f>
        <v>-5000000</v>
      </c>
      <c r="M69" s="80">
        <v>6621379979.4899998</v>
      </c>
      <c r="N69" s="24">
        <f t="shared" ref="N69:N74" si="39">M69-K69</f>
        <v>426562755.34999943</v>
      </c>
      <c r="O69" s="65">
        <f t="shared" si="27"/>
        <v>843539065.81999969</v>
      </c>
    </row>
    <row r="70" spans="1:15" ht="16.5" x14ac:dyDescent="0.25">
      <c r="A70" s="19" t="s">
        <v>66</v>
      </c>
      <c r="B70" s="20" t="s">
        <v>33</v>
      </c>
      <c r="C70" s="20" t="s">
        <v>10</v>
      </c>
      <c r="D70" s="12"/>
      <c r="E70" s="7"/>
      <c r="F70" s="80">
        <v>2231220841.8000002</v>
      </c>
      <c r="G70" s="80">
        <v>2307100569.27</v>
      </c>
      <c r="H70" s="24">
        <f t="shared" si="36"/>
        <v>75879727.46999979</v>
      </c>
      <c r="I70" s="80">
        <v>2407579179.5300002</v>
      </c>
      <c r="J70" s="24">
        <f t="shared" si="37"/>
        <v>100478610.26000023</v>
      </c>
      <c r="K70" s="80">
        <v>2412627432.1599998</v>
      </c>
      <c r="L70" s="24">
        <f t="shared" si="38"/>
        <v>5048252.6299996376</v>
      </c>
      <c r="M70" s="80">
        <v>2559858066.2600002</v>
      </c>
      <c r="N70" s="24">
        <f t="shared" si="39"/>
        <v>147230634.10000038</v>
      </c>
      <c r="O70" s="65">
        <f t="shared" si="27"/>
        <v>328637224.46000004</v>
      </c>
    </row>
    <row r="71" spans="1:15" ht="16.5" x14ac:dyDescent="0.25">
      <c r="A71" s="19" t="s">
        <v>130</v>
      </c>
      <c r="B71" s="20" t="s">
        <v>33</v>
      </c>
      <c r="C71" s="20" t="s">
        <v>14</v>
      </c>
      <c r="D71" s="12"/>
      <c r="E71" s="7"/>
      <c r="F71" s="80">
        <v>105485410</v>
      </c>
      <c r="G71" s="80">
        <v>105485410</v>
      </c>
      <c r="H71" s="24">
        <f t="shared" si="36"/>
        <v>0</v>
      </c>
      <c r="I71" s="80">
        <v>105485410</v>
      </c>
      <c r="J71" s="24">
        <f t="shared" si="37"/>
        <v>0</v>
      </c>
      <c r="K71" s="80">
        <v>105485410</v>
      </c>
      <c r="L71" s="24">
        <f t="shared" si="38"/>
        <v>0</v>
      </c>
      <c r="M71" s="80">
        <v>105690710</v>
      </c>
      <c r="N71" s="24">
        <f t="shared" si="39"/>
        <v>205300</v>
      </c>
      <c r="O71" s="65">
        <f t="shared" si="27"/>
        <v>205300</v>
      </c>
    </row>
    <row r="72" spans="1:15" ht="16.5" x14ac:dyDescent="0.25">
      <c r="A72" s="19" t="s">
        <v>68</v>
      </c>
      <c r="B72" s="20" t="s">
        <v>33</v>
      </c>
      <c r="C72" s="20" t="s">
        <v>16</v>
      </c>
      <c r="D72" s="11"/>
      <c r="E72" s="7"/>
      <c r="F72" s="80">
        <v>307180928</v>
      </c>
      <c r="G72" s="80">
        <v>216308459.16</v>
      </c>
      <c r="H72" s="24">
        <f t="shared" si="36"/>
        <v>-90872468.840000004</v>
      </c>
      <c r="I72" s="80">
        <v>229065586.16</v>
      </c>
      <c r="J72" s="24">
        <f t="shared" si="37"/>
        <v>12757127</v>
      </c>
      <c r="K72" s="80">
        <v>229065586.16</v>
      </c>
      <c r="L72" s="24">
        <f t="shared" si="38"/>
        <v>0</v>
      </c>
      <c r="M72" s="80">
        <v>235528686.16</v>
      </c>
      <c r="N72" s="24">
        <f t="shared" si="39"/>
        <v>6463100</v>
      </c>
      <c r="O72" s="65">
        <f t="shared" si="27"/>
        <v>-71652241.840000004</v>
      </c>
    </row>
    <row r="73" spans="1:15" s="10" customFormat="1" ht="30" x14ac:dyDescent="0.2">
      <c r="A73" s="19" t="s">
        <v>131</v>
      </c>
      <c r="B73" s="20" t="s">
        <v>33</v>
      </c>
      <c r="C73" s="20" t="s">
        <v>18</v>
      </c>
      <c r="D73" s="8"/>
      <c r="E73" s="9"/>
      <c r="F73" s="80">
        <v>202834655</v>
      </c>
      <c r="G73" s="80">
        <v>202834655</v>
      </c>
      <c r="H73" s="24">
        <f t="shared" si="36"/>
        <v>0</v>
      </c>
      <c r="I73" s="80">
        <v>207748723.25</v>
      </c>
      <c r="J73" s="24">
        <f t="shared" si="37"/>
        <v>4914068.25</v>
      </c>
      <c r="K73" s="80">
        <v>207748723.25</v>
      </c>
      <c r="L73" s="24">
        <f t="shared" si="38"/>
        <v>0</v>
      </c>
      <c r="M73" s="80">
        <v>208433723.25</v>
      </c>
      <c r="N73" s="24">
        <f t="shared" si="39"/>
        <v>685000</v>
      </c>
      <c r="O73" s="65">
        <f t="shared" si="27"/>
        <v>5599068.25</v>
      </c>
    </row>
    <row r="74" spans="1:15" ht="16.5" x14ac:dyDescent="0.25">
      <c r="A74" s="19" t="s">
        <v>70</v>
      </c>
      <c r="B74" s="20" t="s">
        <v>33</v>
      </c>
      <c r="C74" s="20" t="s">
        <v>33</v>
      </c>
      <c r="D74" s="11"/>
      <c r="E74" s="7"/>
      <c r="F74" s="80">
        <v>2808874703.6399999</v>
      </c>
      <c r="G74" s="80">
        <v>2733442623.7800002</v>
      </c>
      <c r="H74" s="24">
        <f t="shared" si="36"/>
        <v>-75432079.859999657</v>
      </c>
      <c r="I74" s="80">
        <v>3119958391.1399999</v>
      </c>
      <c r="J74" s="24">
        <f t="shared" si="37"/>
        <v>386515767.35999966</v>
      </c>
      <c r="K74" s="80">
        <v>3250360490</v>
      </c>
      <c r="L74" s="24">
        <f t="shared" si="38"/>
        <v>130402098.86000013</v>
      </c>
      <c r="M74" s="80">
        <v>4134092412.9699998</v>
      </c>
      <c r="N74" s="24">
        <f t="shared" si="39"/>
        <v>883731922.96999979</v>
      </c>
      <c r="O74" s="65">
        <f t="shared" si="27"/>
        <v>1325217709.3299999</v>
      </c>
    </row>
    <row r="75" spans="1:15" s="61" customFormat="1" ht="16.5" x14ac:dyDescent="0.2">
      <c r="A75" s="28" t="s">
        <v>71</v>
      </c>
      <c r="B75" s="29" t="s">
        <v>21</v>
      </c>
      <c r="C75" s="29" t="s">
        <v>9</v>
      </c>
      <c r="D75" s="6">
        <f t="shared" ref="D75:M75" si="40">SUM(D76:D80)</f>
        <v>0</v>
      </c>
      <c r="E75" s="6">
        <f t="shared" si="40"/>
        <v>0</v>
      </c>
      <c r="F75" s="37">
        <f t="shared" si="40"/>
        <v>22226930623.459999</v>
      </c>
      <c r="G75" s="37">
        <f t="shared" si="40"/>
        <v>22334308128.599998</v>
      </c>
      <c r="H75" s="38">
        <f>SUM(H76:H80)</f>
        <v>107377505.14000005</v>
      </c>
      <c r="I75" s="37">
        <f>SUM(I76:I80)</f>
        <v>22769771184.07</v>
      </c>
      <c r="J75" s="38">
        <f>SUM(J76:J80)</f>
        <v>435463055.46999979</v>
      </c>
      <c r="K75" s="37">
        <f t="shared" si="40"/>
        <v>23292969438.73</v>
      </c>
      <c r="L75" s="38">
        <f>SUM(L76:L80)</f>
        <v>523198254.65999985</v>
      </c>
      <c r="M75" s="37">
        <f t="shared" si="40"/>
        <v>23075833180.810001</v>
      </c>
      <c r="N75" s="38">
        <f>SUM(N76:N80)</f>
        <v>-217136257.92000079</v>
      </c>
      <c r="O75" s="52">
        <f t="shared" si="27"/>
        <v>848902557.35000229</v>
      </c>
    </row>
    <row r="76" spans="1:15" ht="16.5" x14ac:dyDescent="0.25">
      <c r="A76" s="19" t="s">
        <v>72</v>
      </c>
      <c r="B76" s="20" t="s">
        <v>21</v>
      </c>
      <c r="C76" s="20" t="s">
        <v>8</v>
      </c>
      <c r="D76" s="4"/>
      <c r="E76" s="7"/>
      <c r="F76" s="80">
        <v>300641400</v>
      </c>
      <c r="G76" s="80">
        <v>300641400</v>
      </c>
      <c r="H76" s="24">
        <f>G76-F76</f>
        <v>0</v>
      </c>
      <c r="I76" s="80">
        <v>303641400</v>
      </c>
      <c r="J76" s="24">
        <f>I76-G76</f>
        <v>3000000</v>
      </c>
      <c r="K76" s="80">
        <v>303641400</v>
      </c>
      <c r="L76" s="24">
        <f>K76-I76</f>
        <v>0</v>
      </c>
      <c r="M76" s="80">
        <v>335197900</v>
      </c>
      <c r="N76" s="24">
        <f>M76-K76</f>
        <v>31556500</v>
      </c>
      <c r="O76" s="65">
        <f t="shared" si="27"/>
        <v>34556500</v>
      </c>
    </row>
    <row r="77" spans="1:15" ht="16.5" x14ac:dyDescent="0.25">
      <c r="A77" s="19" t="s">
        <v>73</v>
      </c>
      <c r="B77" s="20" t="s">
        <v>21</v>
      </c>
      <c r="C77" s="20" t="s">
        <v>10</v>
      </c>
      <c r="D77" s="11"/>
      <c r="E77" s="7"/>
      <c r="F77" s="80">
        <v>3180710481</v>
      </c>
      <c r="G77" s="80">
        <v>3133889047</v>
      </c>
      <c r="H77" s="24">
        <f>G77-F77</f>
        <v>-46821434</v>
      </c>
      <c r="I77" s="80">
        <v>3288140615.1399999</v>
      </c>
      <c r="J77" s="24">
        <f>I77-G77</f>
        <v>154251568.13999987</v>
      </c>
      <c r="K77" s="80">
        <v>3366695615.1399999</v>
      </c>
      <c r="L77" s="24">
        <f>K77-I77</f>
        <v>78555000</v>
      </c>
      <c r="M77" s="80">
        <v>3509492235.1500001</v>
      </c>
      <c r="N77" s="24">
        <f>M77-K77</f>
        <v>142796620.01000023</v>
      </c>
      <c r="O77" s="65">
        <f t="shared" si="27"/>
        <v>328781754.1500001</v>
      </c>
    </row>
    <row r="78" spans="1:15" ht="16.5" x14ac:dyDescent="0.25">
      <c r="A78" s="19" t="s">
        <v>74</v>
      </c>
      <c r="B78" s="20" t="s">
        <v>21</v>
      </c>
      <c r="C78" s="20" t="s">
        <v>12</v>
      </c>
      <c r="D78" s="12"/>
      <c r="E78" s="7"/>
      <c r="F78" s="80">
        <v>12192729916.84</v>
      </c>
      <c r="G78" s="80">
        <v>12260482196.84</v>
      </c>
      <c r="H78" s="24">
        <f>G78-F78</f>
        <v>67752280</v>
      </c>
      <c r="I78" s="80">
        <v>12679967138.84</v>
      </c>
      <c r="J78" s="24">
        <f>I78-G78</f>
        <v>419484942</v>
      </c>
      <c r="K78" s="80">
        <v>13188263038.5</v>
      </c>
      <c r="L78" s="24">
        <f>K78-I78</f>
        <v>508295899.65999985</v>
      </c>
      <c r="M78" s="80">
        <v>13027337044.969999</v>
      </c>
      <c r="N78" s="24">
        <f>M78-K78</f>
        <v>-160925993.53000069</v>
      </c>
      <c r="O78" s="65">
        <f t="shared" si="27"/>
        <v>834607128.12999916</v>
      </c>
    </row>
    <row r="79" spans="1:15" ht="16.5" x14ac:dyDescent="0.25">
      <c r="A79" s="19" t="s">
        <v>75</v>
      </c>
      <c r="B79" s="20" t="s">
        <v>21</v>
      </c>
      <c r="C79" s="20" t="s">
        <v>14</v>
      </c>
      <c r="D79" s="11"/>
      <c r="E79" s="7"/>
      <c r="F79" s="80">
        <v>6133138781.3000002</v>
      </c>
      <c r="G79" s="80">
        <v>6062938781.3000002</v>
      </c>
      <c r="H79" s="24">
        <f>G79-F79</f>
        <v>-70200000</v>
      </c>
      <c r="I79" s="80">
        <v>5882322896.3000002</v>
      </c>
      <c r="J79" s="24">
        <f>I79-G79</f>
        <v>-180615885</v>
      </c>
      <c r="K79" s="80">
        <v>5817225251.3000002</v>
      </c>
      <c r="L79" s="24">
        <f>K79-I79</f>
        <v>-65097645</v>
      </c>
      <c r="M79" s="80">
        <v>5574665099.6999998</v>
      </c>
      <c r="N79" s="24">
        <f>M79-K79</f>
        <v>-242560151.60000038</v>
      </c>
      <c r="O79" s="65">
        <f t="shared" si="27"/>
        <v>-558473681.60000038</v>
      </c>
    </row>
    <row r="80" spans="1:15" ht="16.5" x14ac:dyDescent="0.25">
      <c r="A80" s="19" t="s">
        <v>76</v>
      </c>
      <c r="B80" s="20" t="s">
        <v>21</v>
      </c>
      <c r="C80" s="20" t="s">
        <v>18</v>
      </c>
      <c r="D80" s="11"/>
      <c r="E80" s="7"/>
      <c r="F80" s="80">
        <v>419710044.31999999</v>
      </c>
      <c r="G80" s="80">
        <v>576356703.46000004</v>
      </c>
      <c r="H80" s="24">
        <f>G80-F80</f>
        <v>156646659.14000005</v>
      </c>
      <c r="I80" s="80">
        <v>615699133.78999996</v>
      </c>
      <c r="J80" s="24">
        <f>I80-G80</f>
        <v>39342430.329999924</v>
      </c>
      <c r="K80" s="80">
        <v>617144133.78999996</v>
      </c>
      <c r="L80" s="24">
        <f>K80-I80</f>
        <v>1445000</v>
      </c>
      <c r="M80" s="80">
        <v>629140900.99000001</v>
      </c>
      <c r="N80" s="24">
        <f>M80-K80</f>
        <v>11996767.200000048</v>
      </c>
      <c r="O80" s="65">
        <f t="shared" si="27"/>
        <v>209430856.67000002</v>
      </c>
    </row>
    <row r="81" spans="1:17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N81" si="41">SUM(F82:F84)</f>
        <v>1715479600</v>
      </c>
      <c r="G81" s="37">
        <f t="shared" si="41"/>
        <v>1623497579.3099999</v>
      </c>
      <c r="H81" s="38">
        <f t="shared" si="41"/>
        <v>-91982020.690000057</v>
      </c>
      <c r="I81" s="37">
        <f t="shared" si="41"/>
        <v>1946246119.8599999</v>
      </c>
      <c r="J81" s="38">
        <f t="shared" si="41"/>
        <v>322748540.55000001</v>
      </c>
      <c r="K81" s="37">
        <f t="shared" si="41"/>
        <v>1908095904.47</v>
      </c>
      <c r="L81" s="38">
        <f t="shared" si="41"/>
        <v>-38150215.389999866</v>
      </c>
      <c r="M81" s="37">
        <f t="shared" si="41"/>
        <v>2004766156.6599998</v>
      </c>
      <c r="N81" s="38">
        <f t="shared" si="41"/>
        <v>96670252.189999819</v>
      </c>
      <c r="O81" s="52">
        <f t="shared" si="27"/>
        <v>289286556.65999985</v>
      </c>
      <c r="P81" s="63"/>
      <c r="Q81" s="64"/>
    </row>
    <row r="82" spans="1:17" ht="16.5" x14ac:dyDescent="0.25">
      <c r="A82" s="19" t="s">
        <v>78</v>
      </c>
      <c r="B82" s="20" t="s">
        <v>23</v>
      </c>
      <c r="C82" s="20" t="s">
        <v>10</v>
      </c>
      <c r="D82" s="7"/>
      <c r="E82" s="7"/>
      <c r="F82" s="80">
        <v>982675341.45000005</v>
      </c>
      <c r="G82" s="80">
        <v>885029495.75999999</v>
      </c>
      <c r="H82" s="24">
        <f>G82-F82</f>
        <v>-97645845.690000057</v>
      </c>
      <c r="I82" s="80">
        <v>1183868932.02</v>
      </c>
      <c r="J82" s="24">
        <f>I82-G82</f>
        <v>298839436.25999999</v>
      </c>
      <c r="K82" s="80">
        <v>1145718716.6300001</v>
      </c>
      <c r="L82" s="24">
        <f>K82-I82</f>
        <v>-38150215.389999866</v>
      </c>
      <c r="M82" s="80">
        <v>1173820664.8199999</v>
      </c>
      <c r="N82" s="24">
        <f>M82-K82</f>
        <v>28101948.189999819</v>
      </c>
      <c r="O82" s="65">
        <f t="shared" si="27"/>
        <v>191145323.36999989</v>
      </c>
    </row>
    <row r="83" spans="1:17" ht="16.5" x14ac:dyDescent="0.25">
      <c r="A83" s="19" t="s">
        <v>79</v>
      </c>
      <c r="B83" s="20" t="s">
        <v>23</v>
      </c>
      <c r="C83" s="20" t="s">
        <v>12</v>
      </c>
      <c r="D83" s="12"/>
      <c r="E83" s="7"/>
      <c r="F83" s="80">
        <v>714229858.54999995</v>
      </c>
      <c r="G83" s="80">
        <v>719893683.54999995</v>
      </c>
      <c r="H83" s="24">
        <f>G83-F83</f>
        <v>5663825</v>
      </c>
      <c r="I83" s="80">
        <v>742963967.54999995</v>
      </c>
      <c r="J83" s="24">
        <f>I83-G83</f>
        <v>23070284</v>
      </c>
      <c r="K83" s="80">
        <v>742963967.54999995</v>
      </c>
      <c r="L83" s="24">
        <f>K83-I83</f>
        <v>0</v>
      </c>
      <c r="M83" s="80">
        <v>811196327.54999995</v>
      </c>
      <c r="N83" s="24">
        <f>M83-K83</f>
        <v>68232360</v>
      </c>
      <c r="O83" s="65">
        <f t="shared" si="27"/>
        <v>96966469</v>
      </c>
    </row>
    <row r="84" spans="1:17" ht="16.5" x14ac:dyDescent="0.25">
      <c r="A84" s="19" t="s">
        <v>80</v>
      </c>
      <c r="B84" s="20" t="s">
        <v>23</v>
      </c>
      <c r="C84" s="20" t="s">
        <v>16</v>
      </c>
      <c r="D84" s="11"/>
      <c r="E84" s="7"/>
      <c r="F84" s="80">
        <v>18574400</v>
      </c>
      <c r="G84" s="80">
        <v>18574400</v>
      </c>
      <c r="H84" s="24">
        <f>G84-F84</f>
        <v>0</v>
      </c>
      <c r="I84" s="80">
        <v>19413220.289999999</v>
      </c>
      <c r="J84" s="24">
        <f>I84-G84</f>
        <v>838820.28999999911</v>
      </c>
      <c r="K84" s="80">
        <v>19413220.289999999</v>
      </c>
      <c r="L84" s="24">
        <f>K84-I84</f>
        <v>0</v>
      </c>
      <c r="M84" s="80">
        <v>19749164.289999999</v>
      </c>
      <c r="N84" s="24">
        <f>M84-K84</f>
        <v>335944</v>
      </c>
      <c r="O84" s="65">
        <f t="shared" si="27"/>
        <v>1174764.2899999991</v>
      </c>
    </row>
    <row r="85" spans="1:17" s="61" customFormat="1" ht="16.5" x14ac:dyDescent="0.2">
      <c r="A85" s="28" t="s">
        <v>81</v>
      </c>
      <c r="B85" s="29" t="s">
        <v>47</v>
      </c>
      <c r="C85" s="29" t="s">
        <v>9</v>
      </c>
      <c r="D85" s="6">
        <f t="shared" ref="D85:M85" si="42">SUM(D86:D88)</f>
        <v>0</v>
      </c>
      <c r="E85" s="6">
        <f t="shared" si="42"/>
        <v>0</v>
      </c>
      <c r="F85" s="37">
        <f t="shared" si="42"/>
        <v>230348700</v>
      </c>
      <c r="G85" s="37">
        <f t="shared" si="42"/>
        <v>231188700</v>
      </c>
      <c r="H85" s="38">
        <f>SUM(H86:H88)</f>
        <v>840000</v>
      </c>
      <c r="I85" s="37">
        <f>SUM(I86:I88)</f>
        <v>233216700</v>
      </c>
      <c r="J85" s="38">
        <f>SUM(J86:J88)</f>
        <v>2028000</v>
      </c>
      <c r="K85" s="37">
        <f>SUM(K86:K88)</f>
        <v>233216700</v>
      </c>
      <c r="L85" s="38">
        <f>SUM(L86:L88)</f>
        <v>0</v>
      </c>
      <c r="M85" s="37">
        <f t="shared" si="42"/>
        <v>235379111.36000001</v>
      </c>
      <c r="N85" s="38">
        <f>SUM(N86:N88)</f>
        <v>2162411.3599999994</v>
      </c>
      <c r="O85" s="52">
        <f t="shared" si="27"/>
        <v>5030411.3600000143</v>
      </c>
    </row>
    <row r="86" spans="1:17" ht="16.5" x14ac:dyDescent="0.25">
      <c r="A86" s="19" t="s">
        <v>82</v>
      </c>
      <c r="B86" s="20" t="s">
        <v>47</v>
      </c>
      <c r="C86" s="20" t="s">
        <v>8</v>
      </c>
      <c r="D86" s="7"/>
      <c r="E86" s="7"/>
      <c r="F86" s="80">
        <v>80798330</v>
      </c>
      <c r="G86" s="80">
        <v>81638330</v>
      </c>
      <c r="H86" s="24">
        <f>G86-F86</f>
        <v>840000</v>
      </c>
      <c r="I86" s="80">
        <v>81638330</v>
      </c>
      <c r="J86" s="24">
        <f>I86-G86</f>
        <v>0</v>
      </c>
      <c r="K86" s="80">
        <v>81638330</v>
      </c>
      <c r="L86" s="24">
        <f>K86-I86</f>
        <v>0</v>
      </c>
      <c r="M86" s="80">
        <v>83366912.519999996</v>
      </c>
      <c r="N86" s="24">
        <f>M86-K86</f>
        <v>1728582.5199999958</v>
      </c>
      <c r="O86" s="65">
        <f t="shared" si="27"/>
        <v>2568582.5199999958</v>
      </c>
    </row>
    <row r="87" spans="1:17" ht="16.5" x14ac:dyDescent="0.25">
      <c r="A87" s="19" t="s">
        <v>83</v>
      </c>
      <c r="B87" s="20" t="s">
        <v>47</v>
      </c>
      <c r="C87" s="20" t="s">
        <v>10</v>
      </c>
      <c r="D87" s="7"/>
      <c r="E87" s="7"/>
      <c r="F87" s="80">
        <v>117722270</v>
      </c>
      <c r="G87" s="80">
        <v>117722270</v>
      </c>
      <c r="H87" s="24">
        <f>G87-F87</f>
        <v>0</v>
      </c>
      <c r="I87" s="80">
        <v>119750270</v>
      </c>
      <c r="J87" s="24">
        <f>I87-G87</f>
        <v>2028000</v>
      </c>
      <c r="K87" s="80">
        <v>119750270</v>
      </c>
      <c r="L87" s="24">
        <f>K87-I87</f>
        <v>0</v>
      </c>
      <c r="M87" s="80">
        <v>119726019.84</v>
      </c>
      <c r="N87" s="24">
        <f>M87-K87</f>
        <v>-24250.159999996424</v>
      </c>
      <c r="O87" s="65">
        <f t="shared" si="27"/>
        <v>2003749.8400000036</v>
      </c>
    </row>
    <row r="88" spans="1:17" s="16" customFormat="1" ht="16.5" x14ac:dyDescent="0.2">
      <c r="A88" s="19" t="s">
        <v>84</v>
      </c>
      <c r="B88" s="20" t="s">
        <v>47</v>
      </c>
      <c r="C88" s="20" t="s">
        <v>14</v>
      </c>
      <c r="D88" s="9"/>
      <c r="E88" s="9"/>
      <c r="F88" s="80">
        <v>31828100</v>
      </c>
      <c r="G88" s="80">
        <v>31828100</v>
      </c>
      <c r="H88" s="24">
        <f>G88-F88</f>
        <v>0</v>
      </c>
      <c r="I88" s="80">
        <v>31828100</v>
      </c>
      <c r="J88" s="24">
        <f>I88-G88</f>
        <v>0</v>
      </c>
      <c r="K88" s="80">
        <v>31828100</v>
      </c>
      <c r="L88" s="24">
        <f>K88-I88</f>
        <v>0</v>
      </c>
      <c r="M88" s="80">
        <v>32286179</v>
      </c>
      <c r="N88" s="24">
        <f>M88-K88</f>
        <v>458079</v>
      </c>
      <c r="O88" s="65">
        <f t="shared" si="27"/>
        <v>458079</v>
      </c>
    </row>
    <row r="89" spans="1:17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M89" si="43">SUM(D90)</f>
        <v>0</v>
      </c>
      <c r="E89" s="13">
        <f t="shared" si="43"/>
        <v>0</v>
      </c>
      <c r="F89" s="37">
        <f>F90</f>
        <v>380000000</v>
      </c>
      <c r="G89" s="37">
        <f t="shared" si="43"/>
        <v>384935000</v>
      </c>
      <c r="H89" s="38">
        <f>SUM(H90)</f>
        <v>4935000</v>
      </c>
      <c r="I89" s="37">
        <f t="shared" si="43"/>
        <v>384935000</v>
      </c>
      <c r="J89" s="38">
        <f>SUM(J90)</f>
        <v>0</v>
      </c>
      <c r="K89" s="37">
        <f t="shared" si="43"/>
        <v>384935000</v>
      </c>
      <c r="L89" s="38">
        <f>SUM(L90)</f>
        <v>0</v>
      </c>
      <c r="M89" s="37">
        <f t="shared" si="43"/>
        <v>384935000</v>
      </c>
      <c r="N89" s="38">
        <f>SUM(N90)</f>
        <v>0</v>
      </c>
      <c r="O89" s="52">
        <f t="shared" si="27"/>
        <v>4935000</v>
      </c>
    </row>
    <row r="90" spans="1:17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80">
        <v>380000000</v>
      </c>
      <c r="G90" s="80">
        <v>384935000</v>
      </c>
      <c r="H90" s="24">
        <f>G90-F90</f>
        <v>4935000</v>
      </c>
      <c r="I90" s="80">
        <v>384935000</v>
      </c>
      <c r="J90" s="24">
        <f>I90-G90</f>
        <v>0</v>
      </c>
      <c r="K90" s="80">
        <v>384935000</v>
      </c>
      <c r="L90" s="24">
        <f>K90-I90</f>
        <v>0</v>
      </c>
      <c r="M90" s="80">
        <v>384935000</v>
      </c>
      <c r="N90" s="24">
        <f>M90-K90</f>
        <v>0</v>
      </c>
      <c r="O90" s="65">
        <f t="shared" si="27"/>
        <v>4935000</v>
      </c>
    </row>
    <row r="91" spans="1:17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M91" si="44">SUM(D92:D94)</f>
        <v>0</v>
      </c>
      <c r="E91" s="13">
        <f t="shared" si="44"/>
        <v>0</v>
      </c>
      <c r="F91" s="37">
        <f t="shared" si="44"/>
        <v>3269107400</v>
      </c>
      <c r="G91" s="37">
        <f t="shared" si="44"/>
        <v>3409830532</v>
      </c>
      <c r="H91" s="38">
        <f>SUM(H92:H94)</f>
        <v>140723132</v>
      </c>
      <c r="I91" s="37">
        <f>SUM(I92:I94)</f>
        <v>5420418263.04</v>
      </c>
      <c r="J91" s="38">
        <f>SUM(J92:J94)</f>
        <v>2010587731.04</v>
      </c>
      <c r="K91" s="37">
        <f t="shared" si="44"/>
        <v>5800431960.5299997</v>
      </c>
      <c r="L91" s="38">
        <f>SUM(L92:L94)</f>
        <v>380013697.49000001</v>
      </c>
      <c r="M91" s="37">
        <f t="shared" si="44"/>
        <v>5806431960.5299997</v>
      </c>
      <c r="N91" s="38">
        <f>SUM(N92:N94)</f>
        <v>6000000</v>
      </c>
      <c r="O91" s="52">
        <f t="shared" si="27"/>
        <v>2537324560.5299997</v>
      </c>
    </row>
    <row r="92" spans="1:17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80">
        <v>1923712229.5999999</v>
      </c>
      <c r="G92" s="80">
        <v>1899022203</v>
      </c>
      <c r="H92" s="24">
        <f>G92-F92</f>
        <v>-24690026.599999905</v>
      </c>
      <c r="I92" s="80">
        <v>1899022203</v>
      </c>
      <c r="J92" s="24">
        <f>I92-G92</f>
        <v>0</v>
      </c>
      <c r="K92" s="80">
        <v>1899022203</v>
      </c>
      <c r="L92" s="24">
        <f>K92-I92</f>
        <v>0</v>
      </c>
      <c r="M92" s="80">
        <v>1899022203</v>
      </c>
      <c r="N92" s="24">
        <f>M92-K92</f>
        <v>0</v>
      </c>
      <c r="O92" s="65">
        <f t="shared" si="27"/>
        <v>-24690026.599999905</v>
      </c>
    </row>
    <row r="93" spans="1:17" ht="16.5" x14ac:dyDescent="0.25">
      <c r="A93" s="19" t="s">
        <v>88</v>
      </c>
      <c r="B93" s="20" t="s">
        <v>37</v>
      </c>
      <c r="C93" s="20" t="s">
        <v>10</v>
      </c>
      <c r="D93" s="7"/>
      <c r="E93" s="7"/>
      <c r="F93" s="80">
        <v>1113179170.4000001</v>
      </c>
      <c r="G93" s="80">
        <v>1221592329</v>
      </c>
      <c r="H93" s="24">
        <f>G93-F93</f>
        <v>108413158.5999999</v>
      </c>
      <c r="I93" s="80">
        <v>3232180060.04</v>
      </c>
      <c r="J93" s="24">
        <f>I93-G93</f>
        <v>2010587731.04</v>
      </c>
      <c r="K93" s="80">
        <v>3646680060.04</v>
      </c>
      <c r="L93" s="24">
        <f>K93-I93</f>
        <v>414500000</v>
      </c>
      <c r="M93" s="80">
        <v>3646680060.04</v>
      </c>
      <c r="N93" s="24">
        <f>M93-K93</f>
        <v>0</v>
      </c>
      <c r="O93" s="65">
        <f t="shared" si="27"/>
        <v>2533500889.6399999</v>
      </c>
    </row>
    <row r="94" spans="1:17" ht="16.5" x14ac:dyDescent="0.25">
      <c r="A94" s="19" t="s">
        <v>89</v>
      </c>
      <c r="B94" s="20" t="s">
        <v>37</v>
      </c>
      <c r="C94" s="20" t="s">
        <v>12</v>
      </c>
      <c r="D94" s="7"/>
      <c r="E94" s="7"/>
      <c r="F94" s="80">
        <v>232216000</v>
      </c>
      <c r="G94" s="80">
        <v>289216000</v>
      </c>
      <c r="H94" s="24">
        <f>G94-F94</f>
        <v>57000000</v>
      </c>
      <c r="I94" s="80">
        <v>289216000</v>
      </c>
      <c r="J94" s="24">
        <f>I94-G94</f>
        <v>0</v>
      </c>
      <c r="K94" s="80">
        <v>254729697.49000001</v>
      </c>
      <c r="L94" s="24">
        <f>K94-I94</f>
        <v>-34486302.50999999</v>
      </c>
      <c r="M94" s="80">
        <v>260729697.49000001</v>
      </c>
      <c r="N94" s="24">
        <f>M94-K94</f>
        <v>6000000</v>
      </c>
      <c r="O94" s="65">
        <f t="shared" si="27"/>
        <v>28513697.49000001</v>
      </c>
    </row>
    <row r="95" spans="1:17" x14ac:dyDescent="0.2">
      <c r="F95" s="45"/>
      <c r="G95" s="45"/>
      <c r="H95" s="46"/>
      <c r="I95" s="46"/>
      <c r="J95" s="46"/>
      <c r="K95" s="46"/>
      <c r="L95" s="46"/>
      <c r="M95" s="46"/>
      <c r="N95" s="46"/>
    </row>
    <row r="96" spans="1:17" x14ac:dyDescent="0.2">
      <c r="F96" s="68">
        <f>95052518950.21-F17</f>
        <v>0</v>
      </c>
      <c r="G96" s="68">
        <f>100227482375.43-G17</f>
        <v>0</v>
      </c>
      <c r="H96" s="68">
        <f>G96-F96</f>
        <v>0</v>
      </c>
      <c r="I96" s="68">
        <f>106875152883.77-I17</f>
        <v>0</v>
      </c>
      <c r="J96" s="68">
        <f>I96-G96</f>
        <v>0</v>
      </c>
      <c r="K96" s="68">
        <f>113636942770.12-K17</f>
        <v>0</v>
      </c>
      <c r="L96" s="68">
        <f>K96-I96</f>
        <v>0</v>
      </c>
      <c r="M96" s="68">
        <f>117580244905.33-M17</f>
        <v>0</v>
      </c>
      <c r="N96" s="68">
        <f>M96-K96</f>
        <v>0</v>
      </c>
      <c r="O96" s="71">
        <f>O17-O19-O29-O32-O39-O49-O54-O57-O65-O68-O75-O81-O85-O89-O91</f>
        <v>-7.152557373046875E-6</v>
      </c>
    </row>
    <row r="97" spans="6:14" x14ac:dyDescent="0.2">
      <c r="F97" s="45"/>
      <c r="G97" s="47"/>
      <c r="H97" s="46"/>
      <c r="I97" s="46"/>
      <c r="J97" s="46"/>
      <c r="K97" s="46"/>
      <c r="L97" s="46"/>
      <c r="M97" s="46"/>
      <c r="N97" s="46"/>
    </row>
    <row r="98" spans="6:14" x14ac:dyDescent="0.2">
      <c r="F98" s="45"/>
      <c r="G98" s="45"/>
      <c r="H98" s="46"/>
      <c r="I98" s="46"/>
      <c r="J98" s="46"/>
      <c r="K98" s="46"/>
      <c r="L98" s="46"/>
      <c r="M98" s="46"/>
      <c r="N98" s="46"/>
    </row>
    <row r="99" spans="6:14" x14ac:dyDescent="0.2">
      <c r="F99" s="45"/>
      <c r="G99" s="45"/>
      <c r="H99" s="46"/>
      <c r="I99" s="46"/>
      <c r="J99" s="46"/>
      <c r="K99" s="46"/>
      <c r="L99" s="46"/>
      <c r="M99" s="46"/>
      <c r="N99" s="46"/>
    </row>
    <row r="100" spans="6:14" x14ac:dyDescent="0.2">
      <c r="F100" s="45"/>
      <c r="G100" s="45"/>
      <c r="H100" s="46"/>
      <c r="I100" s="46"/>
      <c r="J100" s="46"/>
      <c r="K100" s="46"/>
      <c r="L100" s="46"/>
      <c r="M100" s="46"/>
      <c r="N100" s="46"/>
    </row>
    <row r="101" spans="6:14" x14ac:dyDescent="0.2">
      <c r="F101" s="45"/>
      <c r="G101" s="45"/>
      <c r="H101" s="46"/>
      <c r="I101" s="46"/>
      <c r="J101" s="46"/>
      <c r="K101" s="46"/>
      <c r="L101" s="46"/>
      <c r="M101" s="46"/>
      <c r="N101" s="46"/>
    </row>
    <row r="102" spans="6:14" x14ac:dyDescent="0.2">
      <c r="F102" s="45"/>
      <c r="G102" s="45"/>
      <c r="H102" s="46"/>
      <c r="I102" s="46"/>
      <c r="J102" s="46"/>
      <c r="K102" s="46"/>
      <c r="L102" s="46"/>
      <c r="M102" s="46"/>
      <c r="N102" s="46"/>
    </row>
    <row r="103" spans="6:14" x14ac:dyDescent="0.2">
      <c r="F103" s="45"/>
      <c r="G103" s="45"/>
      <c r="H103" s="46"/>
      <c r="I103" s="46"/>
      <c r="J103" s="46"/>
      <c r="K103" s="46"/>
      <c r="L103" s="46"/>
      <c r="M103" s="46"/>
      <c r="N103" s="46"/>
    </row>
    <row r="104" spans="6:14" x14ac:dyDescent="0.2">
      <c r="F104" s="45"/>
      <c r="G104" s="45"/>
      <c r="H104" s="46"/>
      <c r="I104" s="46"/>
      <c r="J104" s="46"/>
      <c r="K104" s="46"/>
      <c r="L104" s="46"/>
      <c r="M104" s="46"/>
      <c r="N104" s="46"/>
    </row>
    <row r="105" spans="6:14" x14ac:dyDescent="0.2">
      <c r="F105" s="45"/>
      <c r="G105" s="45"/>
      <c r="H105" s="46"/>
      <c r="I105" s="46"/>
      <c r="J105" s="46"/>
      <c r="K105" s="46"/>
      <c r="L105" s="46"/>
      <c r="M105" s="46"/>
      <c r="N105" s="46"/>
    </row>
    <row r="106" spans="6:14" x14ac:dyDescent="0.2">
      <c r="F106" s="45"/>
      <c r="G106" s="45"/>
      <c r="H106" s="46"/>
      <c r="I106" s="46"/>
      <c r="J106" s="46"/>
      <c r="K106" s="46"/>
      <c r="L106" s="46"/>
      <c r="M106" s="46"/>
      <c r="N106" s="46"/>
    </row>
    <row r="107" spans="6:14" x14ac:dyDescent="0.2">
      <c r="F107" s="45"/>
      <c r="G107" s="45"/>
      <c r="H107" s="46"/>
      <c r="I107" s="46"/>
      <c r="J107" s="46"/>
      <c r="K107" s="46"/>
      <c r="L107" s="46"/>
      <c r="M107" s="46"/>
      <c r="N107" s="46"/>
    </row>
    <row r="108" spans="6:14" x14ac:dyDescent="0.2">
      <c r="F108" s="45"/>
      <c r="G108" s="45"/>
      <c r="H108" s="46"/>
      <c r="I108" s="46"/>
      <c r="J108" s="46"/>
      <c r="K108" s="46"/>
      <c r="L108" s="46"/>
      <c r="M108" s="46"/>
      <c r="N108" s="46"/>
    </row>
    <row r="109" spans="6:14" x14ac:dyDescent="0.2">
      <c r="F109" s="45"/>
      <c r="G109" s="45"/>
      <c r="H109" s="46"/>
      <c r="I109" s="46"/>
      <c r="J109" s="46"/>
      <c r="K109" s="46"/>
      <c r="L109" s="46"/>
      <c r="M109" s="46"/>
      <c r="N109" s="46"/>
    </row>
    <row r="110" spans="6:14" x14ac:dyDescent="0.2">
      <c r="F110" s="45"/>
      <c r="G110" s="45"/>
      <c r="H110" s="46"/>
      <c r="I110" s="46"/>
      <c r="J110" s="46"/>
      <c r="K110" s="46"/>
      <c r="L110" s="46"/>
      <c r="M110" s="46"/>
      <c r="N110" s="46"/>
    </row>
    <row r="111" spans="6:14" x14ac:dyDescent="0.2">
      <c r="F111" s="45"/>
      <c r="G111" s="45"/>
      <c r="H111" s="46"/>
      <c r="I111" s="46"/>
      <c r="J111" s="46"/>
      <c r="K111" s="46"/>
      <c r="L111" s="46"/>
      <c r="M111" s="46"/>
      <c r="N111" s="46"/>
    </row>
    <row r="112" spans="6:14" x14ac:dyDescent="0.2">
      <c r="F112" s="45"/>
      <c r="G112" s="45"/>
      <c r="H112" s="46"/>
      <c r="I112" s="46"/>
      <c r="J112" s="46"/>
      <c r="K112" s="46"/>
      <c r="L112" s="46"/>
      <c r="M112" s="46"/>
      <c r="N112" s="46"/>
    </row>
    <row r="113" spans="6:14" x14ac:dyDescent="0.2">
      <c r="F113" s="45"/>
      <c r="G113" s="45"/>
      <c r="H113" s="46"/>
      <c r="I113" s="46"/>
      <c r="J113" s="46"/>
      <c r="K113" s="46"/>
      <c r="L113" s="46"/>
      <c r="M113" s="46"/>
      <c r="N113" s="46"/>
    </row>
    <row r="114" spans="6:14" x14ac:dyDescent="0.2">
      <c r="F114" s="45"/>
      <c r="G114" s="45"/>
      <c r="H114" s="46"/>
      <c r="I114" s="46"/>
      <c r="J114" s="46"/>
      <c r="K114" s="46"/>
      <c r="L114" s="46"/>
      <c r="M114" s="46"/>
      <c r="N114" s="46"/>
    </row>
    <row r="115" spans="6:14" x14ac:dyDescent="0.2">
      <c r="F115" s="45"/>
      <c r="G115" s="45"/>
      <c r="H115" s="46"/>
      <c r="I115" s="46"/>
      <c r="J115" s="46"/>
      <c r="K115" s="46"/>
      <c r="L115" s="46"/>
      <c r="M115" s="46"/>
      <c r="N115" s="46"/>
    </row>
    <row r="116" spans="6:14" x14ac:dyDescent="0.2">
      <c r="F116" s="45"/>
      <c r="G116" s="45"/>
      <c r="H116" s="46"/>
      <c r="I116" s="46"/>
      <c r="J116" s="46"/>
      <c r="K116" s="46"/>
      <c r="L116" s="46"/>
      <c r="M116" s="46"/>
      <c r="N116" s="46"/>
    </row>
    <row r="117" spans="6:14" x14ac:dyDescent="0.2">
      <c r="F117" s="45"/>
      <c r="G117" s="45"/>
      <c r="H117" s="46"/>
      <c r="I117" s="46"/>
      <c r="J117" s="46"/>
      <c r="K117" s="46"/>
      <c r="L117" s="46"/>
      <c r="M117" s="46"/>
      <c r="N117" s="46"/>
    </row>
    <row r="118" spans="6:14" x14ac:dyDescent="0.2">
      <c r="F118" s="45"/>
      <c r="G118" s="45"/>
      <c r="H118" s="46"/>
      <c r="I118" s="46"/>
      <c r="J118" s="46"/>
      <c r="K118" s="46"/>
      <c r="L118" s="46"/>
      <c r="M118" s="46"/>
      <c r="N118" s="46"/>
    </row>
    <row r="119" spans="6:14" x14ac:dyDescent="0.2">
      <c r="F119" s="45"/>
      <c r="G119" s="45"/>
      <c r="H119" s="46"/>
      <c r="I119" s="46"/>
      <c r="J119" s="46"/>
      <c r="K119" s="46"/>
      <c r="L119" s="46"/>
      <c r="M119" s="46"/>
      <c r="N119" s="46"/>
    </row>
    <row r="120" spans="6:14" x14ac:dyDescent="0.2">
      <c r="F120" s="45"/>
      <c r="G120" s="45"/>
      <c r="H120" s="46"/>
      <c r="I120" s="46"/>
      <c r="J120" s="46"/>
      <c r="K120" s="46"/>
      <c r="L120" s="46"/>
      <c r="M120" s="46"/>
      <c r="N120" s="46"/>
    </row>
    <row r="121" spans="6:14" x14ac:dyDescent="0.2">
      <c r="F121" s="45"/>
      <c r="G121" s="45"/>
      <c r="H121" s="46"/>
      <c r="I121" s="46"/>
      <c r="J121" s="46"/>
      <c r="K121" s="46"/>
      <c r="L121" s="46"/>
      <c r="M121" s="46"/>
      <c r="N121" s="46"/>
    </row>
    <row r="122" spans="6:14" x14ac:dyDescent="0.2">
      <c r="F122" s="45"/>
      <c r="G122" s="45"/>
      <c r="H122" s="46"/>
      <c r="I122" s="46"/>
      <c r="J122" s="46"/>
      <c r="K122" s="46"/>
      <c r="L122" s="46"/>
      <c r="M122" s="46"/>
      <c r="N122" s="46"/>
    </row>
    <row r="123" spans="6:14" x14ac:dyDescent="0.2">
      <c r="F123" s="45"/>
      <c r="G123" s="45"/>
      <c r="H123" s="46"/>
      <c r="I123" s="46"/>
      <c r="J123" s="46"/>
      <c r="K123" s="46"/>
      <c r="L123" s="46"/>
      <c r="M123" s="46"/>
      <c r="N123" s="46"/>
    </row>
    <row r="124" spans="6:14" x14ac:dyDescent="0.2">
      <c r="F124" s="45"/>
      <c r="G124" s="45"/>
      <c r="H124" s="46"/>
      <c r="I124" s="46"/>
      <c r="J124" s="46"/>
      <c r="K124" s="46"/>
      <c r="L124" s="46"/>
      <c r="M124" s="46"/>
      <c r="N124" s="46"/>
    </row>
    <row r="125" spans="6:14" x14ac:dyDescent="0.2">
      <c r="F125" s="45"/>
      <c r="G125" s="45"/>
      <c r="H125" s="46"/>
      <c r="I125" s="46"/>
      <c r="J125" s="46"/>
      <c r="K125" s="46"/>
      <c r="L125" s="46"/>
      <c r="M125" s="46"/>
      <c r="N125" s="46"/>
    </row>
    <row r="126" spans="6:14" x14ac:dyDescent="0.2">
      <c r="F126" s="45"/>
      <c r="G126" s="45"/>
      <c r="H126" s="46"/>
      <c r="I126" s="46"/>
      <c r="J126" s="46"/>
      <c r="K126" s="46"/>
      <c r="L126" s="46"/>
      <c r="M126" s="46"/>
      <c r="N126" s="46"/>
    </row>
    <row r="127" spans="6:14" x14ac:dyDescent="0.2">
      <c r="F127" s="45"/>
      <c r="G127" s="45"/>
      <c r="H127" s="46"/>
      <c r="I127" s="46"/>
      <c r="J127" s="46"/>
      <c r="K127" s="46"/>
      <c r="L127" s="46"/>
      <c r="M127" s="46"/>
      <c r="N127" s="46"/>
    </row>
    <row r="128" spans="6:14" x14ac:dyDescent="0.2">
      <c r="F128" s="45"/>
      <c r="G128" s="45"/>
      <c r="H128" s="46"/>
      <c r="I128" s="46"/>
      <c r="J128" s="46"/>
      <c r="K128" s="46"/>
      <c r="L128" s="46"/>
      <c r="M128" s="46"/>
      <c r="N128" s="46"/>
    </row>
    <row r="129" spans="6:14" x14ac:dyDescent="0.2">
      <c r="F129" s="45"/>
      <c r="G129" s="45"/>
      <c r="H129" s="46"/>
      <c r="I129" s="46"/>
      <c r="J129" s="46"/>
      <c r="K129" s="46"/>
      <c r="L129" s="46"/>
      <c r="M129" s="46"/>
      <c r="N129" s="46"/>
    </row>
    <row r="130" spans="6:14" x14ac:dyDescent="0.2">
      <c r="F130" s="45"/>
      <c r="G130" s="45"/>
      <c r="H130" s="46"/>
      <c r="I130" s="46"/>
      <c r="J130" s="46"/>
      <c r="K130" s="46"/>
      <c r="L130" s="46"/>
      <c r="M130" s="46"/>
      <c r="N130" s="46"/>
    </row>
    <row r="131" spans="6:14" x14ac:dyDescent="0.2">
      <c r="F131" s="45"/>
      <c r="G131" s="45"/>
      <c r="H131" s="46"/>
      <c r="I131" s="46"/>
      <c r="J131" s="46"/>
      <c r="K131" s="46"/>
      <c r="L131" s="46"/>
      <c r="M131" s="46"/>
      <c r="N131" s="46"/>
    </row>
    <row r="132" spans="6:14" x14ac:dyDescent="0.2">
      <c r="F132" s="45"/>
      <c r="G132" s="45"/>
      <c r="H132" s="46"/>
      <c r="I132" s="46"/>
      <c r="J132" s="46"/>
      <c r="K132" s="46"/>
      <c r="L132" s="46"/>
      <c r="M132" s="46"/>
      <c r="N132" s="46"/>
    </row>
    <row r="133" spans="6:14" x14ac:dyDescent="0.2">
      <c r="F133" s="45"/>
      <c r="G133" s="45"/>
      <c r="H133" s="46"/>
      <c r="I133" s="46"/>
      <c r="J133" s="46"/>
      <c r="K133" s="46"/>
      <c r="L133" s="46"/>
      <c r="M133" s="46"/>
      <c r="N133" s="46"/>
    </row>
    <row r="134" spans="6:14" x14ac:dyDescent="0.2">
      <c r="F134" s="45"/>
      <c r="G134" s="45"/>
      <c r="H134" s="46"/>
      <c r="I134" s="46"/>
      <c r="J134" s="46"/>
      <c r="K134" s="46"/>
      <c r="L134" s="46"/>
      <c r="M134" s="46"/>
      <c r="N134" s="46"/>
    </row>
    <row r="135" spans="6:14" x14ac:dyDescent="0.2">
      <c r="F135" s="45"/>
      <c r="G135" s="45"/>
      <c r="H135" s="46"/>
      <c r="I135" s="46"/>
      <c r="J135" s="46"/>
      <c r="K135" s="46"/>
      <c r="L135" s="46"/>
      <c r="M135" s="46"/>
      <c r="N135" s="46"/>
    </row>
    <row r="136" spans="6:14" x14ac:dyDescent="0.2">
      <c r="F136" s="45"/>
      <c r="G136" s="45"/>
      <c r="H136" s="46"/>
      <c r="I136" s="46"/>
      <c r="J136" s="46"/>
      <c r="K136" s="46"/>
      <c r="L136" s="46"/>
      <c r="M136" s="46"/>
      <c r="N136" s="46"/>
    </row>
    <row r="137" spans="6:14" x14ac:dyDescent="0.2">
      <c r="F137" s="45"/>
      <c r="G137" s="45"/>
      <c r="H137" s="46"/>
      <c r="I137" s="46"/>
      <c r="J137" s="46"/>
      <c r="K137" s="46"/>
      <c r="L137" s="46"/>
      <c r="M137" s="46"/>
      <c r="N137" s="46"/>
    </row>
    <row r="138" spans="6:14" x14ac:dyDescent="0.2">
      <c r="F138" s="45"/>
      <c r="G138" s="45"/>
      <c r="H138" s="46"/>
      <c r="I138" s="46"/>
      <c r="J138" s="46"/>
      <c r="K138" s="46"/>
      <c r="L138" s="46"/>
      <c r="M138" s="46"/>
      <c r="N138" s="46"/>
    </row>
    <row r="139" spans="6:14" x14ac:dyDescent="0.2">
      <c r="F139" s="45"/>
      <c r="G139" s="45"/>
      <c r="H139" s="46"/>
      <c r="I139" s="46"/>
      <c r="J139" s="46"/>
      <c r="K139" s="46"/>
      <c r="L139" s="46"/>
      <c r="M139" s="46"/>
      <c r="N139" s="46"/>
    </row>
    <row r="140" spans="6:14" x14ac:dyDescent="0.2">
      <c r="F140" s="45"/>
      <c r="G140" s="45"/>
      <c r="H140" s="46"/>
      <c r="I140" s="46"/>
      <c r="J140" s="46"/>
      <c r="K140" s="46"/>
      <c r="L140" s="46"/>
      <c r="M140" s="46"/>
      <c r="N140" s="46"/>
    </row>
    <row r="141" spans="6:14" x14ac:dyDescent="0.2">
      <c r="F141" s="45"/>
      <c r="G141" s="45"/>
      <c r="H141" s="46"/>
      <c r="I141" s="46"/>
      <c r="J141" s="46"/>
      <c r="K141" s="46"/>
      <c r="L141" s="46"/>
      <c r="M141" s="46"/>
      <c r="N141" s="46"/>
    </row>
    <row r="142" spans="6:14" x14ac:dyDescent="0.2">
      <c r="F142" s="45"/>
      <c r="G142" s="45"/>
      <c r="H142" s="46"/>
      <c r="I142" s="46"/>
      <c r="J142" s="46"/>
      <c r="K142" s="46"/>
      <c r="L142" s="46"/>
      <c r="M142" s="46"/>
      <c r="N142" s="46"/>
    </row>
    <row r="143" spans="6:14" x14ac:dyDescent="0.2">
      <c r="F143" s="45"/>
      <c r="G143" s="45"/>
      <c r="H143" s="46"/>
      <c r="I143" s="46"/>
      <c r="J143" s="46"/>
      <c r="K143" s="46"/>
      <c r="L143" s="46"/>
      <c r="M143" s="46"/>
      <c r="N143" s="46"/>
    </row>
    <row r="144" spans="6:14" x14ac:dyDescent="0.2">
      <c r="F144" s="45"/>
      <c r="G144" s="45"/>
      <c r="H144" s="46"/>
      <c r="I144" s="46"/>
      <c r="J144" s="46"/>
      <c r="K144" s="46"/>
      <c r="L144" s="46"/>
      <c r="M144" s="46"/>
      <c r="N144" s="46"/>
    </row>
    <row r="145" spans="6:14" x14ac:dyDescent="0.2">
      <c r="F145" s="45"/>
      <c r="G145" s="45"/>
      <c r="H145" s="46"/>
      <c r="I145" s="46"/>
      <c r="J145" s="46"/>
      <c r="K145" s="46"/>
      <c r="L145" s="46"/>
      <c r="M145" s="46"/>
      <c r="N145" s="46"/>
    </row>
    <row r="146" spans="6:14" x14ac:dyDescent="0.2">
      <c r="F146" s="45"/>
      <c r="G146" s="45"/>
      <c r="H146" s="46"/>
      <c r="I146" s="46"/>
      <c r="J146" s="46"/>
      <c r="K146" s="46"/>
      <c r="L146" s="46"/>
      <c r="M146" s="46"/>
      <c r="N146" s="46"/>
    </row>
    <row r="147" spans="6:14" x14ac:dyDescent="0.2">
      <c r="F147" s="45"/>
      <c r="G147" s="45"/>
      <c r="H147" s="46"/>
      <c r="I147" s="46"/>
      <c r="J147" s="46"/>
      <c r="K147" s="46"/>
      <c r="L147" s="46"/>
      <c r="M147" s="46"/>
      <c r="N147" s="46"/>
    </row>
    <row r="148" spans="6:14" x14ac:dyDescent="0.2">
      <c r="F148" s="45"/>
      <c r="G148" s="45"/>
      <c r="H148" s="46"/>
      <c r="I148" s="46"/>
      <c r="J148" s="46"/>
      <c r="K148" s="46"/>
      <c r="L148" s="46"/>
      <c r="M148" s="46"/>
      <c r="N148" s="46"/>
    </row>
    <row r="149" spans="6:14" x14ac:dyDescent="0.2">
      <c r="F149" s="45"/>
      <c r="G149" s="45"/>
      <c r="H149" s="46"/>
      <c r="I149" s="46"/>
      <c r="J149" s="46"/>
      <c r="K149" s="46"/>
      <c r="L149" s="46"/>
      <c r="M149" s="46"/>
      <c r="N149" s="46"/>
    </row>
    <row r="150" spans="6:14" x14ac:dyDescent="0.2">
      <c r="F150" s="45"/>
      <c r="G150" s="45"/>
      <c r="H150" s="46"/>
      <c r="I150" s="46"/>
      <c r="J150" s="46"/>
      <c r="K150" s="46"/>
      <c r="L150" s="46"/>
      <c r="M150" s="46"/>
      <c r="N150" s="46"/>
    </row>
    <row r="151" spans="6:14" x14ac:dyDescent="0.2">
      <c r="F151" s="45"/>
      <c r="G151" s="45"/>
      <c r="H151" s="46"/>
      <c r="I151" s="46"/>
      <c r="J151" s="46"/>
      <c r="K151" s="46"/>
      <c r="L151" s="46"/>
      <c r="M151" s="46"/>
      <c r="N151" s="46"/>
    </row>
    <row r="152" spans="6:14" x14ac:dyDescent="0.2">
      <c r="F152" s="45"/>
      <c r="G152" s="45"/>
      <c r="H152" s="46"/>
      <c r="I152" s="46"/>
      <c r="J152" s="46"/>
      <c r="K152" s="46"/>
      <c r="L152" s="46"/>
      <c r="M152" s="46"/>
      <c r="N152" s="46"/>
    </row>
    <row r="153" spans="6:14" x14ac:dyDescent="0.2">
      <c r="F153" s="45"/>
      <c r="G153" s="45"/>
      <c r="H153" s="46"/>
      <c r="I153" s="46"/>
      <c r="J153" s="46"/>
      <c r="K153" s="46"/>
      <c r="L153" s="46"/>
      <c r="M153" s="46"/>
      <c r="N153" s="46"/>
    </row>
    <row r="154" spans="6:14" x14ac:dyDescent="0.2">
      <c r="F154" s="45"/>
      <c r="G154" s="45"/>
      <c r="H154" s="46"/>
      <c r="I154" s="46"/>
      <c r="J154" s="46"/>
      <c r="K154" s="46"/>
      <c r="L154" s="46"/>
      <c r="M154" s="46"/>
      <c r="N154" s="46"/>
    </row>
    <row r="155" spans="6:14" x14ac:dyDescent="0.2">
      <c r="F155" s="45"/>
      <c r="G155" s="45"/>
      <c r="H155" s="46"/>
      <c r="I155" s="46"/>
      <c r="J155" s="46"/>
      <c r="K155" s="46"/>
      <c r="L155" s="46"/>
      <c r="M155" s="46"/>
      <c r="N155" s="46"/>
    </row>
    <row r="156" spans="6:14" x14ac:dyDescent="0.2">
      <c r="F156" s="45"/>
      <c r="G156" s="45"/>
      <c r="H156" s="46"/>
      <c r="I156" s="46"/>
      <c r="J156" s="46"/>
      <c r="K156" s="46"/>
      <c r="L156" s="46"/>
      <c r="M156" s="46"/>
      <c r="N156" s="46"/>
    </row>
    <row r="157" spans="6:14" x14ac:dyDescent="0.2">
      <c r="F157" s="45"/>
      <c r="G157" s="45"/>
      <c r="H157" s="46"/>
      <c r="I157" s="46"/>
      <c r="J157" s="46"/>
      <c r="K157" s="46"/>
      <c r="L157" s="46"/>
      <c r="M157" s="46"/>
      <c r="N157" s="46"/>
    </row>
    <row r="158" spans="6:14" x14ac:dyDescent="0.2">
      <c r="F158" s="45"/>
      <c r="G158" s="45"/>
      <c r="H158" s="46"/>
      <c r="I158" s="46"/>
      <c r="J158" s="46"/>
      <c r="K158" s="46"/>
      <c r="L158" s="46"/>
      <c r="M158" s="46"/>
      <c r="N158" s="46"/>
    </row>
    <row r="159" spans="6:14" x14ac:dyDescent="0.2">
      <c r="F159" s="45"/>
      <c r="G159" s="45"/>
      <c r="H159" s="46"/>
      <c r="I159" s="46"/>
      <c r="J159" s="46"/>
      <c r="K159" s="46"/>
      <c r="L159" s="46"/>
      <c r="M159" s="46"/>
      <c r="N159" s="46"/>
    </row>
    <row r="160" spans="6:14" x14ac:dyDescent="0.2">
      <c r="F160" s="45"/>
      <c r="G160" s="45"/>
      <c r="H160" s="46"/>
      <c r="I160" s="46"/>
      <c r="J160" s="46"/>
      <c r="K160" s="46"/>
      <c r="L160" s="46"/>
      <c r="M160" s="46"/>
      <c r="N160" s="46"/>
    </row>
    <row r="161" spans="6:14" x14ac:dyDescent="0.2">
      <c r="F161" s="45"/>
      <c r="G161" s="45"/>
      <c r="H161" s="46"/>
      <c r="I161" s="46"/>
      <c r="J161" s="46"/>
      <c r="K161" s="46"/>
      <c r="L161" s="46"/>
      <c r="M161" s="46"/>
      <c r="N161" s="46"/>
    </row>
    <row r="162" spans="6:14" x14ac:dyDescent="0.2">
      <c r="F162" s="45"/>
      <c r="G162" s="45"/>
      <c r="H162" s="46"/>
      <c r="I162" s="46"/>
      <c r="J162" s="46"/>
      <c r="K162" s="46"/>
      <c r="L162" s="46"/>
      <c r="M162" s="46"/>
      <c r="N162" s="46"/>
    </row>
    <row r="163" spans="6:14" x14ac:dyDescent="0.2">
      <c r="F163" s="45"/>
      <c r="G163" s="45"/>
      <c r="H163" s="46"/>
      <c r="I163" s="46"/>
      <c r="J163" s="46"/>
      <c r="K163" s="46"/>
      <c r="L163" s="46"/>
      <c r="M163" s="46"/>
      <c r="N163" s="46"/>
    </row>
    <row r="164" spans="6:14" x14ac:dyDescent="0.2">
      <c r="F164" s="45"/>
      <c r="G164" s="45"/>
      <c r="H164" s="46"/>
      <c r="I164" s="46"/>
      <c r="J164" s="46"/>
      <c r="K164" s="46"/>
      <c r="L164" s="46"/>
      <c r="M164" s="46"/>
      <c r="N164" s="46"/>
    </row>
    <row r="165" spans="6:14" x14ac:dyDescent="0.2">
      <c r="F165" s="45"/>
      <c r="G165" s="45"/>
      <c r="H165" s="46"/>
      <c r="I165" s="46"/>
      <c r="J165" s="46"/>
      <c r="K165" s="46"/>
      <c r="L165" s="46"/>
      <c r="M165" s="46"/>
      <c r="N165" s="46"/>
    </row>
    <row r="166" spans="6:14" x14ac:dyDescent="0.2">
      <c r="F166" s="45"/>
      <c r="G166" s="45"/>
      <c r="H166" s="46"/>
      <c r="I166" s="46"/>
      <c r="J166" s="46"/>
      <c r="K166" s="46"/>
      <c r="L166" s="46"/>
      <c r="M166" s="46"/>
      <c r="N166" s="46"/>
    </row>
    <row r="167" spans="6:14" x14ac:dyDescent="0.2">
      <c r="F167" s="45"/>
      <c r="G167" s="45"/>
      <c r="H167" s="46"/>
      <c r="I167" s="46"/>
      <c r="J167" s="46"/>
      <c r="K167" s="46"/>
      <c r="L167" s="46"/>
      <c r="M167" s="46"/>
      <c r="N167" s="46"/>
    </row>
    <row r="168" spans="6:14" x14ac:dyDescent="0.2">
      <c r="F168" s="45"/>
      <c r="G168" s="45"/>
      <c r="H168" s="46"/>
      <c r="I168" s="46"/>
      <c r="J168" s="46"/>
      <c r="K168" s="46"/>
      <c r="L168" s="46"/>
      <c r="M168" s="46"/>
      <c r="N168" s="46"/>
    </row>
    <row r="169" spans="6:14" x14ac:dyDescent="0.2">
      <c r="F169" s="45"/>
      <c r="G169" s="45"/>
      <c r="H169" s="46"/>
      <c r="I169" s="46"/>
      <c r="J169" s="46"/>
      <c r="K169" s="46"/>
      <c r="L169" s="46"/>
      <c r="M169" s="46"/>
      <c r="N169" s="46"/>
    </row>
    <row r="170" spans="6:14" x14ac:dyDescent="0.2">
      <c r="F170" s="45"/>
      <c r="G170" s="45"/>
      <c r="H170" s="46"/>
      <c r="I170" s="46"/>
      <c r="J170" s="46"/>
      <c r="K170" s="46"/>
      <c r="L170" s="46"/>
      <c r="M170" s="46"/>
      <c r="N170" s="46"/>
    </row>
    <row r="171" spans="6:14" x14ac:dyDescent="0.2">
      <c r="F171" s="45"/>
      <c r="G171" s="45"/>
      <c r="H171" s="46"/>
      <c r="I171" s="46"/>
      <c r="J171" s="46"/>
      <c r="K171" s="46"/>
      <c r="L171" s="46"/>
      <c r="M171" s="46"/>
      <c r="N171" s="46"/>
    </row>
    <row r="172" spans="6:14" x14ac:dyDescent="0.2">
      <c r="F172" s="45"/>
      <c r="G172" s="45"/>
      <c r="H172" s="46"/>
      <c r="I172" s="46"/>
      <c r="J172" s="46"/>
      <c r="K172" s="46"/>
      <c r="L172" s="46"/>
      <c r="M172" s="46"/>
      <c r="N172" s="46"/>
    </row>
    <row r="173" spans="6:14" x14ac:dyDescent="0.2">
      <c r="F173" s="45"/>
      <c r="G173" s="45"/>
      <c r="H173" s="46"/>
      <c r="I173" s="46"/>
      <c r="J173" s="46"/>
      <c r="K173" s="46"/>
      <c r="L173" s="46"/>
      <c r="M173" s="46"/>
      <c r="N173" s="46"/>
    </row>
    <row r="174" spans="6:14" x14ac:dyDescent="0.2">
      <c r="F174" s="10"/>
      <c r="G174" s="10"/>
      <c r="H174" s="26"/>
      <c r="I174" s="26"/>
      <c r="J174" s="26"/>
      <c r="K174" s="26"/>
      <c r="L174" s="26"/>
      <c r="M174" s="26"/>
      <c r="N174" s="26"/>
    </row>
    <row r="175" spans="6:14" x14ac:dyDescent="0.2">
      <c r="F175" s="10"/>
      <c r="G175" s="10"/>
      <c r="H175" s="26"/>
      <c r="I175" s="26"/>
      <c r="J175" s="26"/>
      <c r="K175" s="26"/>
      <c r="L175" s="26"/>
      <c r="M175" s="26"/>
      <c r="N175" s="26"/>
    </row>
    <row r="176" spans="6:14" x14ac:dyDescent="0.2">
      <c r="F176" s="10"/>
      <c r="G176" s="10"/>
      <c r="H176" s="26"/>
      <c r="I176" s="26"/>
      <c r="J176" s="26"/>
      <c r="K176" s="26"/>
      <c r="L176" s="26"/>
      <c r="M176" s="26"/>
      <c r="N176" s="26"/>
    </row>
    <row r="177" spans="6:14" x14ac:dyDescent="0.2">
      <c r="F177" s="10"/>
      <c r="G177" s="10"/>
      <c r="H177" s="26"/>
      <c r="I177" s="26"/>
      <c r="J177" s="26"/>
      <c r="K177" s="26"/>
      <c r="L177" s="26"/>
      <c r="M177" s="26"/>
      <c r="N177" s="26"/>
    </row>
    <row r="178" spans="6:14" x14ac:dyDescent="0.2">
      <c r="F178" s="10"/>
      <c r="G178" s="10"/>
      <c r="H178" s="26"/>
      <c r="I178" s="26"/>
      <c r="J178" s="26"/>
      <c r="K178" s="26"/>
      <c r="L178" s="26"/>
      <c r="M178" s="26"/>
      <c r="N178" s="26"/>
    </row>
    <row r="179" spans="6:14" x14ac:dyDescent="0.2">
      <c r="F179" s="10"/>
      <c r="G179" s="10"/>
      <c r="H179" s="26"/>
      <c r="I179" s="26"/>
      <c r="J179" s="26"/>
      <c r="K179" s="26"/>
      <c r="L179" s="26"/>
      <c r="M179" s="26"/>
      <c r="N179" s="26"/>
    </row>
    <row r="180" spans="6:14" x14ac:dyDescent="0.2">
      <c r="F180" s="10"/>
      <c r="G180" s="10"/>
      <c r="H180" s="26"/>
      <c r="I180" s="26"/>
      <c r="J180" s="26"/>
      <c r="K180" s="26"/>
      <c r="L180" s="26"/>
      <c r="M180" s="26"/>
      <c r="N180" s="26"/>
    </row>
    <row r="181" spans="6:14" x14ac:dyDescent="0.2">
      <c r="F181" s="10"/>
      <c r="G181" s="10"/>
      <c r="H181" s="26"/>
      <c r="I181" s="26"/>
      <c r="J181" s="26"/>
      <c r="K181" s="26"/>
      <c r="L181" s="26"/>
      <c r="M181" s="26"/>
      <c r="N181" s="26"/>
    </row>
    <row r="182" spans="6:14" x14ac:dyDescent="0.2">
      <c r="F182" s="10"/>
      <c r="G182" s="10"/>
      <c r="H182" s="26"/>
      <c r="I182" s="26"/>
      <c r="J182" s="26"/>
      <c r="K182" s="26"/>
      <c r="L182" s="26"/>
      <c r="M182" s="26"/>
      <c r="N182" s="26"/>
    </row>
    <row r="183" spans="6:14" x14ac:dyDescent="0.2">
      <c r="F183" s="10"/>
      <c r="G183" s="10"/>
      <c r="H183" s="26"/>
      <c r="I183" s="26"/>
      <c r="J183" s="26"/>
      <c r="K183" s="26"/>
      <c r="L183" s="26"/>
      <c r="M183" s="26"/>
      <c r="N183" s="26"/>
    </row>
    <row r="184" spans="6:14" x14ac:dyDescent="0.2">
      <c r="F184" s="10"/>
      <c r="G184" s="10"/>
      <c r="H184" s="26"/>
      <c r="I184" s="26"/>
      <c r="J184" s="26"/>
      <c r="K184" s="26"/>
      <c r="L184" s="26"/>
      <c r="M184" s="26"/>
      <c r="N184" s="26"/>
    </row>
    <row r="185" spans="6:14" x14ac:dyDescent="0.2">
      <c r="F185" s="10"/>
      <c r="G185" s="10"/>
      <c r="H185" s="26"/>
      <c r="I185" s="26"/>
      <c r="J185" s="26"/>
      <c r="K185" s="26"/>
      <c r="L185" s="26"/>
      <c r="M185" s="26"/>
      <c r="N185" s="26"/>
    </row>
    <row r="186" spans="6:14" x14ac:dyDescent="0.2">
      <c r="F186" s="10"/>
      <c r="G186" s="10"/>
      <c r="H186" s="26"/>
      <c r="I186" s="26"/>
      <c r="J186" s="26"/>
      <c r="K186" s="26"/>
      <c r="L186" s="26"/>
      <c r="M186" s="26"/>
      <c r="N186" s="26"/>
    </row>
    <row r="187" spans="6:14" x14ac:dyDescent="0.2">
      <c r="F187" s="10"/>
      <c r="G187" s="10"/>
      <c r="H187" s="26"/>
      <c r="I187" s="26"/>
      <c r="J187" s="26"/>
      <c r="K187" s="26"/>
      <c r="L187" s="26"/>
      <c r="M187" s="26"/>
      <c r="N187" s="26"/>
    </row>
    <row r="188" spans="6:14" x14ac:dyDescent="0.2">
      <c r="F188" s="10"/>
      <c r="G188" s="10"/>
      <c r="H188" s="26"/>
      <c r="I188" s="26"/>
      <c r="J188" s="26"/>
      <c r="K188" s="26"/>
      <c r="L188" s="26"/>
      <c r="M188" s="26"/>
      <c r="N188" s="26"/>
    </row>
    <row r="189" spans="6:14" x14ac:dyDescent="0.2">
      <c r="H189" s="15"/>
      <c r="I189" s="15"/>
      <c r="J189" s="15"/>
      <c r="K189" s="15"/>
      <c r="L189" s="15"/>
      <c r="M189" s="15"/>
      <c r="N189" s="15"/>
    </row>
    <row r="190" spans="6:14" x14ac:dyDescent="0.2">
      <c r="H190" s="15"/>
      <c r="I190" s="15"/>
      <c r="J190" s="15"/>
      <c r="K190" s="15"/>
      <c r="L190" s="15"/>
      <c r="M190" s="15"/>
      <c r="N190" s="15"/>
    </row>
    <row r="191" spans="6:14" x14ac:dyDescent="0.2">
      <c r="H191" s="15"/>
      <c r="I191" s="15"/>
      <c r="J191" s="15"/>
      <c r="K191" s="15"/>
      <c r="L191" s="15"/>
      <c r="M191" s="15"/>
      <c r="N191" s="15"/>
    </row>
    <row r="192" spans="6:14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4">
    <mergeCell ref="A2:O2"/>
    <mergeCell ref="A3:O3"/>
    <mergeCell ref="B15:C15"/>
    <mergeCell ref="B14:C14"/>
    <mergeCell ref="B9:C9"/>
    <mergeCell ref="B10:C10"/>
    <mergeCell ref="B11:C11"/>
    <mergeCell ref="B12:C12"/>
    <mergeCell ref="B13:C13"/>
    <mergeCell ref="B17:C17"/>
    <mergeCell ref="A4:N4"/>
    <mergeCell ref="B6:C6"/>
    <mergeCell ref="B7:C7"/>
    <mergeCell ref="B8:C8"/>
  </mergeCells>
  <pageMargins left="0.19685039370078741" right="0.19685039370078741" top="0.27559055118110237" bottom="0.35433070866141736" header="0.15748031496062992" footer="0.23622047244094491"/>
  <pageSetup paperSize="8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 2022 год</vt:lpstr>
      <vt:lpstr>за 2023 год</vt:lpstr>
      <vt:lpstr>'за 2023 год'!Заголовки_для_печати</vt:lpstr>
      <vt:lpstr>'за 2023 год'!Область_печати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u1561</cp:lastModifiedBy>
  <cp:lastPrinted>2024-03-21T10:47:08Z</cp:lastPrinted>
  <dcterms:created xsi:type="dcterms:W3CDTF">2017-03-13T07:05:52Z</dcterms:created>
  <dcterms:modified xsi:type="dcterms:W3CDTF">2024-03-21T10:53:56Z</dcterms:modified>
</cp:coreProperties>
</file>